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68" windowHeight="7020" activeTab="0"/>
  </bookViews>
  <sheets>
    <sheet name="Планы компаний и государства" sheetId="1" r:id="rId1"/>
    <sheet name="Рост рынков и отрасли" sheetId="2" r:id="rId2"/>
    <sheet name="Рынки конечной продукции" sheetId="3" r:id="rId3"/>
    <sheet name="Создание стоимости" sheetId="4" r:id="rId4"/>
    <sheet name="мировая промышленность" sheetId="5" r:id="rId5"/>
    <sheet name="глобальные компании" sheetId="6" r:id="rId6"/>
    <sheet name="крупный рос. бизнес" sheetId="7" r:id="rId7"/>
  </sheets>
  <definedNames/>
  <calcPr fullCalcOnLoad="1"/>
</workbook>
</file>

<file path=xl/sharedStrings.xml><?xml version="1.0" encoding="utf-8"?>
<sst xmlns="http://schemas.openxmlformats.org/spreadsheetml/2006/main" count="296" uniqueCount="242">
  <si>
    <t>Производство электронных модулей и аппаратуры</t>
  </si>
  <si>
    <t>Производство электронных компонентов</t>
  </si>
  <si>
    <t>Бизнес</t>
  </si>
  <si>
    <t>Государство</t>
  </si>
  <si>
    <t>8. Дальнейшее увеличение объемов финансирования инженерного образования и науки
9. Совместное с российским бизнесом участие в международных инвестионных программах развития новых технологий и новых рынков</t>
  </si>
  <si>
    <t>1. Повышение ставок таможенных пошлин на электронные модули и  аппаратуру до 15-20%.
2. Субсидирование расходов по выходу на зарубежные рынки (выставки, конференции, макетинговая информация и пр.)
3. Налоговые льготы для разработчиков электроники
4. Льготное кредитования проектов НИОКР и инвестиций в производство</t>
  </si>
  <si>
    <t>всего</t>
  </si>
  <si>
    <t>на зарубежных рынках</t>
  </si>
  <si>
    <t>Производство печатных плат</t>
  </si>
  <si>
    <t>Производство корпусов</t>
  </si>
  <si>
    <t>Производство пассивных и электромеханических компонентов</t>
  </si>
  <si>
    <t>для внутреннего рынка</t>
  </si>
  <si>
    <t>для зарубежных рынков</t>
  </si>
  <si>
    <t>Производство полупроводниковых компонентов</t>
  </si>
  <si>
    <t>Производство технологического оборудования и материалов</t>
  </si>
  <si>
    <t>собственное производство российских OEM-компаний</t>
  </si>
  <si>
    <t>контрактное производство по заказам российских OEM-компаний</t>
  </si>
  <si>
    <t>собственное производство зарубежных компаний в России</t>
  </si>
  <si>
    <t>контрактное производство по заказам зарубежных компаний</t>
  </si>
  <si>
    <t>Российский рынок электронной аппаратуры</t>
  </si>
  <si>
    <t>объем, млн. долл</t>
  </si>
  <si>
    <t>рост, %</t>
  </si>
  <si>
    <t>объем, млн. долл.</t>
  </si>
  <si>
    <t>Рынок потребительской электроники</t>
  </si>
  <si>
    <t>Рынок промышленной электроники</t>
  </si>
  <si>
    <t>Рынок оборудования систем безопасности</t>
  </si>
  <si>
    <t>Рынок светодиодных светильников и ламп</t>
  </si>
  <si>
    <t>Рынок медицинской электроники</t>
  </si>
  <si>
    <t xml:space="preserve">Рынок торгового и фискального оборудования </t>
  </si>
  <si>
    <t>Всего рынок конечной продукции (электронной аппаратуры)</t>
  </si>
  <si>
    <t xml:space="preserve">годовой объем российского рынка в ценах конечного заказчика, млн. долларов </t>
  </si>
  <si>
    <t>доля российских OEM-компаний (торговых марок)</t>
  </si>
  <si>
    <t>доля продукции локализованного производства зарубежных OEM-компаний**</t>
  </si>
  <si>
    <t>Рост вместе с экономикой России, до 2018 по консервативному прогнозу МЭК, до 2026 года ускорение за счет перестройки экономики, с 2027 года некоторое замедление при стабилизации новой модели экономики на уровне +2% к росту мирового ВВП</t>
  </si>
  <si>
    <t>Сохранение одного уровня расходов до 2020 года, когда закончита программа перевооружения армии. Ежегодное сокращение расходов до 2026 года - завершение просроченных проектов прежней программы, начало реализации новой. После 2026 года переход на более низкий уровень военных расходов при изменении концепции противодействия угрозам безопасности</t>
  </si>
  <si>
    <t>Объем продаж, приведенный к ценам российского производителя, млн. долларов</t>
  </si>
  <si>
    <t>по итогам 2015 года</t>
  </si>
  <si>
    <t>потенциал к 2030 году*</t>
  </si>
  <si>
    <t>примечания</t>
  </si>
  <si>
    <t>источники информации</t>
  </si>
  <si>
    <t>По данным исследования «GfK TEMAX Россия» http://ratek.org/rynok-bytovoj-texniki-i-elektroniki-v-rf-v-2015-godu-po-prognozu-upadet-na-22-proc-gfk</t>
  </si>
  <si>
    <t>Телекоммуникационное оборудование</t>
  </si>
  <si>
    <t xml:space="preserve">http://www.tadviser.ru/index.php/Статья:ИТ-рынок_России, АПКИТ и McKinsey: http://www.apkit.ru/files/Strategy_APKIT_2012_vr.pdf </t>
  </si>
  <si>
    <t>Компьютеры и серверы (b2b рынок)</t>
  </si>
  <si>
    <t>Рынок печатающей и копировальной техники</t>
  </si>
  <si>
    <t>http://www.sovel.org/marketingovye_issledovaniya/</t>
  </si>
  <si>
    <t>rustradeusa.org/Attachment.aspx?id=1877</t>
  </si>
  <si>
    <t>Рынок электронного оборудования военной и космической техники</t>
  </si>
  <si>
    <t>млрд. долларов</t>
  </si>
  <si>
    <t>ссылки</t>
  </si>
  <si>
    <t>Гаджеты: мобильные телефоны, смартфоны, планшеты, умные часы и пр.</t>
  </si>
  <si>
    <t xml:space="preserve">рынок смартфонов в 2014 году составил 216 млрд рублей /38,614= 5,6 млрд. долларов, минус 8% в штуках в 2015 = 5,15. Плюс все другие гаджеты (телефоны, планшеты и пр.) *2=10,3, примерно 10 млрд. рублей </t>
  </si>
  <si>
    <t>http://www.tadviser.ru/index.php/Статья:Смартфоны_(рынок_России)</t>
  </si>
  <si>
    <t>Телевизоры и телевизионные приставки</t>
  </si>
  <si>
    <t>объём российского рынка составил в 2015 году 5,5 млн телевизоров и 133 млрд руб, объем рына ТВ приставок - около 5 млн. шт, около 0,8 млрд. долларов</t>
  </si>
  <si>
    <t>http://www.3dnews.ru/928890</t>
  </si>
  <si>
    <t>Другое</t>
  </si>
  <si>
    <t>фото и ведеокамеры, аудио и др.</t>
  </si>
  <si>
    <t>* - потенциал увеличения ограничен областью, где возможна конкуренция российской и импортной продукции, где нет значительного технологического отставания или используются стандартные технологии, которые могут быть перенесены в Россию</t>
  </si>
  <si>
    <t>** - доля всего рынка, которую занимает производимая на территории России продукция зарубежных марок</t>
  </si>
  <si>
    <t>гражданские рынки</t>
  </si>
  <si>
    <t>Примечания:</t>
  </si>
  <si>
    <t>Объем гражданских рынков:</t>
  </si>
  <si>
    <t>Объем рынка спецприменений:</t>
  </si>
  <si>
    <t>Сумма "открытого" и "закрытого" рынков. Рост рассчитывается через разницу по годам</t>
  </si>
  <si>
    <t>рынки специальных применений</t>
  </si>
  <si>
    <t>Гражданские рынки конечной продукции (электронной аппаратуры)</t>
  </si>
  <si>
    <t>Примечания</t>
  </si>
  <si>
    <t xml:space="preserve">Не ожидается увеличения доли российской продукции на рынке специальных применений, т.к. требования заказчиков всегда будут опережать развитие военной промышленности </t>
  </si>
  <si>
    <t>общий объем</t>
  </si>
  <si>
    <t>Проникновение КП</t>
  </si>
  <si>
    <t>в производстве специальной аппаратуры</t>
  </si>
  <si>
    <t>в производстве гражданской аппаратуры</t>
  </si>
  <si>
    <t>Производство электронной аппаратуры в России, добавленная стоимость, млн. долларов</t>
  </si>
  <si>
    <t xml:space="preserve">на внутренних рынках гражданской продукции </t>
  </si>
  <si>
    <t>на рынке продукции специальных применений</t>
  </si>
  <si>
    <t>доля российской продукции на внутреннем рынке гражданских применений в 2030 г</t>
  </si>
  <si>
    <t>доля российской продукции на внутреннем рынке специальных применений в 2030 г</t>
  </si>
  <si>
    <t xml:space="preserve"> </t>
  </si>
  <si>
    <t>Мировая электронная промышленность, млрд долл.</t>
  </si>
  <si>
    <t>доля России на мировом рынке электроники 2015</t>
  </si>
  <si>
    <t>доля России на мировом рынке электроники 2030</t>
  </si>
  <si>
    <t>доля российской продукции на мировом рынке</t>
  </si>
  <si>
    <t>Самсунг Электроникс Рус Калуга</t>
  </si>
  <si>
    <t>вопросы</t>
  </si>
  <si>
    <t>основная информация</t>
  </si>
  <si>
    <t>Компания</t>
  </si>
  <si>
    <t>какую часть в общей выручке Самсунг Электроникс Рус Калуга обеспечивают продажи продукции российского производства? Все 100%? Какова валовая маржа российского производства (Gross Margin)?</t>
  </si>
  <si>
    <t>53772,95 млн. рублей - объем реализации производственного предприятия за 2014 год (1,39 млрд. долларов); чистая прибыль 2729,41 руб. (70,6 млн. долларов); общий объем инвестиций в производство в России - около 250 млн. долларов, средняя цена за телефизор составляла в 2014 году около 16 тыс. рублей</t>
  </si>
  <si>
    <t>ЛГ Электроникс Рус</t>
  </si>
  <si>
    <t>какую часть в общей выручке ЛГ Электроникс Рус обеспечивают продажи продукции российского производства? Все 100%? Какова валовая маржа российского производства (Gross Margin)?</t>
  </si>
  <si>
    <t>http://www.raexpert.ru/docbank/66b/3d6/388/4e13bbeb106c0f4366551fe.pdf</t>
  </si>
  <si>
    <t>http://www.raexpert.ru/docbank/66b/3d6/388/4e13bbeb106c0f4366551fe.pdf, http://re-port.ru/research/analiz_rynka_televizorov_v_rossii/</t>
  </si>
  <si>
    <t>Континентал Аутомотив Системс Рус</t>
  </si>
  <si>
    <t>2 530 млн. долларов - общий объем оптовых продаж LG в России (вкл. НДС). Объем производсва меньше, чем у Самсунга, судя по объему импорта электронных компонентов. LG импортирует компонентов в 1,7 раза меньше</t>
  </si>
  <si>
    <t>Другие, все вместе</t>
  </si>
  <si>
    <t>М.Видео</t>
  </si>
  <si>
    <t>объем реализации, 2014</t>
  </si>
  <si>
    <t>Ростелеком</t>
  </si>
  <si>
    <t>Вертолеты России</t>
  </si>
  <si>
    <t>Объединенная авиастроительная корпорация</t>
  </si>
  <si>
    <t>ВымпелКом</t>
  </si>
  <si>
    <t>Ростех, госкорпорация</t>
  </si>
  <si>
    <t>Алмаз-Антей, концерн</t>
  </si>
  <si>
    <t>АвтоВАЗ</t>
  </si>
  <si>
    <t>Фольксваген Груп Рус</t>
  </si>
  <si>
    <t>Ниссан Мэнуфэкчуринг Рус</t>
  </si>
  <si>
    <t>Трансмашхолдинг</t>
  </si>
  <si>
    <t>Уралвагонзавод</t>
  </si>
  <si>
    <t>ГАЗ, группа</t>
  </si>
  <si>
    <t>Газпром</t>
  </si>
  <si>
    <t>Лукойл</t>
  </si>
  <si>
    <t>Роснефть</t>
  </si>
  <si>
    <t>Эльдорадо</t>
  </si>
  <si>
    <t>РЖД</t>
  </si>
  <si>
    <t>Транснефть</t>
  </si>
  <si>
    <t>Аэрофлот – российские авиалинии</t>
  </si>
  <si>
    <t>АФК Система</t>
  </si>
  <si>
    <t>в телекоме</t>
  </si>
  <si>
    <t>МегаФон</t>
  </si>
  <si>
    <t>АББ</t>
  </si>
  <si>
    <t>Schneider Electric</t>
  </si>
  <si>
    <t>http://new.abb.com/ru/o-nas/russia</t>
  </si>
  <si>
    <t>http://www.schneider-electric.ru/ru/about-us/company-profile/production-in-russia.jsp</t>
  </si>
  <si>
    <t xml:space="preserve">http://a-kt.ru/articles/continental-rasshiryaet-proizvodstvo-avtokomponentov, http://www.vest-news.ru/article/60488, http://www.continental-corporation.com/www/pressportal_ru_ru/ </t>
  </si>
  <si>
    <t>Производство только начинает разворачиваться. Компания «Континенталь» планирует инвестировать 24 миллиона евро производство автоэлектроники в Калуге, на котором в 2014 году планируется создать 100 новых рабочих мест, но к 2016 году число рабочих мест на предприятии составит 330 человек. Новый завод будет способен производить один миллион блоков управления двигателем в год, а также 500 000 топливных модулей и полмиллиона систем топливной рампы ежегодно</t>
  </si>
  <si>
    <t>Преобладет производство электротехники, электронного оборудования в России производится не много</t>
  </si>
  <si>
    <t>Emerson Electric</t>
  </si>
  <si>
    <t>http://www2.emersonprocess.com/ru-RU/news/pr/Pages/pr_metranflow.aspx</t>
  </si>
  <si>
    <t>Купили челябинский завод Метран. Используется, как сборочное производство. На сегодняшний день Промышленная Группа «Метран» является ведущим российским приборостроительным предприятием, с производственных линий которого выходят средства измерений давления, температуры, уровня, расхода; распределенные системы управления, клапаны и регуляторы, метрологическое оборудование. «Метран» обеспечивает все стадии жизненного цикла продукции: разработку, изготовление, техническую поддержку, продажи, сервисное обслуживание и обучение заказчиков. Это ключевой актив Emerson Process Management не только в России, но и СНГ. Главным шагом в стратегии локализации, последовательно реализуемой компанией в течение 10 лет, стало открытие в 2015 году нового офисно-производственного комплекса в Челябинске площадью почти в 30 тыс. кв.м. Расширение производства на территории России позволяет выпускать продукцию мирового уровня под знаком «Сделано в России».</t>
  </si>
  <si>
    <t>…</t>
  </si>
  <si>
    <t>объем продаж произведенной в России продукции в 2014, млн. долларов</t>
  </si>
  <si>
    <t>System Sensor</t>
  </si>
  <si>
    <t>ООО «ССФД» –производственное подразделени, работающее в России с 2000 год, штат - около 50 человек</t>
  </si>
  <si>
    <t>https://www.systemsensor.ru/about/</t>
  </si>
  <si>
    <t>Всего</t>
  </si>
  <si>
    <t>объем реализации в 2014 году, млн. долларов</t>
  </si>
  <si>
    <t>Национальная компьютерная корпорация (НКК)</t>
  </si>
  <si>
    <t>крупнейший поставщик импортной компьютерной техники, имеет собственное крупное сборочное производство компьютеров</t>
  </si>
  <si>
    <t>ЛАНИТ, группа компаний</t>
  </si>
  <si>
    <t>Техносерв</t>
  </si>
  <si>
    <t>Softline</t>
  </si>
  <si>
    <t>Inline Technologies Group</t>
  </si>
  <si>
    <t>дистрибьютор оборудования и системный интегратор, имеет около 30 дочерних компаний, в том числе в области разработки ПО и электроники</t>
  </si>
  <si>
    <t>крупнейший системных интегратор. Заказчики ГК «Техносерв» – государственные структуры и крупнейшие компании ключевых отраслей экономики: операторы связи, финансовые организации, промышленные, топливно-энергетические, транспортные и торговые предприятия. В числе заказчиков – «Российские железные дороги», «Мобильные ТелеСистемы», «ВымпелКом», «Ростелеком», «Сбербанк России», ФМС России и другие. Лидер в области инфраструктуры ЦОД и ИТ-инфраструктуры</t>
  </si>
  <si>
    <t>http://www.technoserv.com/about/company/</t>
  </si>
  <si>
    <t>http://lanit.ru/structure/region/</t>
  </si>
  <si>
    <t>http://www.ncc.ru/</t>
  </si>
  <si>
    <t>розничные сети потребительской электроники</t>
  </si>
  <si>
    <t>дистрибуция и интеграция ИТ-оборудования</t>
  </si>
  <si>
    <t>операторы связи</t>
  </si>
  <si>
    <t>ВПК</t>
  </si>
  <si>
    <t>автомобильная промышленность</t>
  </si>
  <si>
    <t>железнодорожное машиностроение</t>
  </si>
  <si>
    <t>сырьевые компании</t>
  </si>
  <si>
    <t>транспортные компании</t>
  </si>
  <si>
    <t>уточнить, какой примерно вклад российского производства в оптовую стоимость выпускаемой продукции. Сейчас принял 15%</t>
  </si>
  <si>
    <t>контрактное производство</t>
  </si>
  <si>
    <t>собственные производства зарубежных компаний</t>
  </si>
  <si>
    <t>Доля продукции локализованного производства зарубежных OEM-компаний на гражданских рынках</t>
  </si>
  <si>
    <t>Глобальные компании в России</t>
  </si>
  <si>
    <t>грубая оценка по объему импорта компонентов (в сравнение с Самсунгом и ЛГ)</t>
  </si>
  <si>
    <t>Cisco</t>
  </si>
  <si>
    <t>контрактное производство на заводе компании Jabil в Твери</t>
  </si>
  <si>
    <t>http://jabil-russia.ru/</t>
  </si>
  <si>
    <t>Ingenico</t>
  </si>
  <si>
    <t>http://ingenico.ru/about.html</t>
  </si>
  <si>
    <t>http://jabil-russia.ru/, http://www.cisco.com/web/RU/rusprod/index.html</t>
  </si>
  <si>
    <t>около 2,8 млрд. долларов</t>
  </si>
  <si>
    <t>Глобальные контрактные производители в России</t>
  </si>
  <si>
    <t>Jabil</t>
  </si>
  <si>
    <t>Orbit One</t>
  </si>
  <si>
    <t>TPV CIS</t>
  </si>
  <si>
    <t>мощность производства: до 2.2 миллионов единиц продукции в год. До 800 сотрудников при 3х сменной работе. Выпускаемая продукция: потребительская электроника - ТВ, мониторы, продукция с ЖК-экранами; приставки для приема сигналов цифрового телевидения.</t>
  </si>
  <si>
    <t>какова загрузка мощностей и объемы производства в настоящее время?</t>
  </si>
  <si>
    <t>http://tpvrussia.ru/factory/production/</t>
  </si>
  <si>
    <t>Производственная площадь: 3 600 кв. м., число сотрудников:  135 человек. Производственые возможности: Управление поставками, Монтаж печатных плат, Финальная сборка, Тестирование, упаковка</t>
  </si>
  <si>
    <t>http://www.orbitone.se/ru/this-is-orbit-one/production-units/russia</t>
  </si>
  <si>
    <t>95% от всего объема выпускаемой им продукции предназначено для европейского рынка. Завод Orbit One осуществляет монтаж плат, располагая двумя линиями поверхностного монтажа производительностью 25 и 50 тыс. компонентов в час. На предприятии работает 60 человек</t>
  </si>
  <si>
    <t>Добавленная стоимость, созданная российскими производствами, млн. долларов</t>
  </si>
  <si>
    <t>Инфляция доллара*</t>
  </si>
  <si>
    <t>* предполагаем, что сохранится среднегодовой темп инфляции доллара последних 20 лет</t>
  </si>
  <si>
    <t>Рост мирового ВВП**</t>
  </si>
  <si>
    <t>** до 2020 года сохранится темп роста мирового ВВП последних 5 лет, до 2025 года можно ожидать ускорение до 4,5% в год, после 2025 года начнется замедление до 3%, см.  http://mgimo.ru/files/16223/16223.pdf с поправками на дестабилизация последнего времени - прогноз отложен примерно на 5 лет</t>
  </si>
  <si>
    <t>Рост мировой электронной промышленности***</t>
  </si>
  <si>
    <t>*** предполагаем, что рост мировой электронной промышленности будет немного, на 0,3% выше роста мирового ВВП</t>
  </si>
  <si>
    <t xml:space="preserve"> Добавленная стоимость, созданная российскими производствами в 2014 году</t>
  </si>
  <si>
    <t>в 2015 году (минус 20%)</t>
  </si>
  <si>
    <t xml:space="preserve">Объем рынка в целом: </t>
  </si>
  <si>
    <t>Рост продаж российской продукции гражданского назначения на внутреннем рынке</t>
  </si>
  <si>
    <t>Рост продаж российской продукции гражданского назначения на зарубежных рынках</t>
  </si>
  <si>
    <t>Кратный рост с 2017 года от низкой базы, а также за счет масштабирования сети дистрибуции и производсвтенной кооперации по всему миру. При этом расширение линейки продукции будет не таким быстрым (10-15% в год). Замедление темпов роста с 2021 года по мере проникновения на большинство емких рынков, расширение своей доли на освоенных рынках за счет расширения линейки оригинальной продукции, внедрения инноваций.</t>
  </si>
  <si>
    <t>Добавленная стоимость произодства электронной аппаратуры</t>
  </si>
  <si>
    <t>Компоненты</t>
  </si>
  <si>
    <t>Модули</t>
  </si>
  <si>
    <t>Аппаратура</t>
  </si>
  <si>
    <t>Общий</t>
  </si>
  <si>
    <t>Цифровые микросхемы</t>
  </si>
  <si>
    <t>Аналоговые и смешанные микросхемы</t>
  </si>
  <si>
    <t>Дискретные полупроводники, в том числе силовые</t>
  </si>
  <si>
    <t>Пассивные компоненты</t>
  </si>
  <si>
    <t>Электромеханические компоненты</t>
  </si>
  <si>
    <t>Электронные компоненты</t>
  </si>
  <si>
    <t>Изготовление печатных плат</t>
  </si>
  <si>
    <t>Изготовление других заказных комплектующих</t>
  </si>
  <si>
    <t>Комплектация производства электронных модулей</t>
  </si>
  <si>
    <t>Монтаж электронных модулей</t>
  </si>
  <si>
    <t>Разработка и маркетинг модулей</t>
  </si>
  <si>
    <t>Электронные модули</t>
  </si>
  <si>
    <t>Изготовление корпусов</t>
  </si>
  <si>
    <t>Комплектация сборочного производства аппаратуры</t>
  </si>
  <si>
    <t>Сборка и тестирование аппаратуры</t>
  </si>
  <si>
    <t>Разработка и маркетинг аппаратуры</t>
  </si>
  <si>
    <t>Электронная аппаратура</t>
  </si>
  <si>
    <t>Принята равной 15% от стоимости конечной проудкции (одинаково для собственного и контрактного производства). В них включены: финальная узловая сборка и тестирование аппаратуры, монтаж модулей (компонентов на печатные платы), комплектация производства аппаратуры, комплектация производства модулей, управление логистикой и складом, частичное собственное изготовление корпусов, жгутов и других заказных комплектующих</t>
  </si>
  <si>
    <t>системная интеграция, разработка ПО и ИТ-оборудования</t>
  </si>
  <si>
    <t>http://www.itgrp.ru/structure-of-holding/</t>
  </si>
  <si>
    <t>http://softlinegroup.com/ru/business_description/structure.php</t>
  </si>
  <si>
    <t>дистрибьютор ПО, оборудования, системный интегратор, венчурный инвестор</t>
  </si>
  <si>
    <t>Инфляция доллара к 2015 году</t>
  </si>
  <si>
    <t>Рост мирового ВВП к 2105 году</t>
  </si>
  <si>
    <t>Задачи</t>
  </si>
  <si>
    <t>5. Налоговые льготы и/или субсидирование расходов для крупнейших экспортеров
6. Софинансирование наиболее значимых инвестиционных проектов, инициируемых отраслевым бизнес-сообществом
7. Увеличение объемов финансирования инженерного образования и науки</t>
  </si>
  <si>
    <t>2021 - 2025
Переориентация отрасли на экспорт инновационной продукции</t>
  </si>
  <si>
    <t>2026 - 2030
Глобальное технологическое лидерство в приоритетных направлениях</t>
  </si>
  <si>
    <t>1) Рост объемов производства гражданской продукции для внутреннего рынка более 10% в год
2) Многократное расширение числа компаний, продающих свою продукцию на зарубежных рынках
3) Повышение инвестиционной привлекательности отрасли для частного капитала</t>
  </si>
  <si>
    <t>4) Опережающий рост экспорта: объем экспорта превысит объем продаж на внутреннем рынке
5) Значительное увеличение масштабов инвестиционных проектов: миллиардные инвестиции в создание многомиллиардных бизнесов</t>
  </si>
  <si>
    <t>6) Достижение российскими компаниями лидирующих позиций по объему продаж и инвестиций в приоритетных направлениях</t>
  </si>
  <si>
    <t>2016 - 2020
Демилитаризация отрасли (расширение производства гражданской продукции), расширение сектора частных предприятий</t>
  </si>
  <si>
    <t>1. Привлечение частных российских инвестиций из торгового бизнеса, ИТ-индустрии, энергетической отрасли
2. Разработка широкой номенклатуры стандартной продукции для внутреннего и зарубежных рынков
3. Локализация производства  продукции зарубежных компаний
4. Выход большого числа российских компаний на зарубежные рынки</t>
  </si>
  <si>
    <t xml:space="preserve">5. Переход от локального бизнеса к глобальному
6. Точное позиционирование компаний на глобальном рынке в соответствие с имеющимися компетенциями и долгосрочными приоритетами
7. Увеличение масштабов реализуемых инвестиционных проектов на порядок
</t>
  </si>
  <si>
    <t>8. Создание и развитие глобальной научной и инженерной экосистемы вокруг приоритетых проектов и технологий</t>
  </si>
  <si>
    <t>4. Расширение линейки продукции для зарубежных рынков - от отдельных специальных компонентво к комплексным предложениям
5. Разработка компонентов совместо с российскими проиводителями аппаратуры для новых глобальных рынков
6. Значительное расширение числа частных российских инвесторов (от единичных случаев к десяткам)</t>
  </si>
  <si>
    <t>1. Сужение специализации компаний, концентрация ограниченных инвестиций на коммерчески оправданных проектах и направлениях
2. Импортозамещение специальных (не общего применения) компонентов для производства военной и космической техники
3. Расширение продаж специализированных или кастомизированных компонентов на зарубежных рынках</t>
  </si>
  <si>
    <t>7. Привлечение крупных зарубежных инвесторов - увеличение на порядок масштабов инвестиционных проектов
8. Выход на ведущие позвиции на мировом рынке в приоритеных направлениях</t>
  </si>
  <si>
    <t>Крупный российский бизнес - заказчики и потенциальные инвесторы</t>
  </si>
  <si>
    <t>год</t>
  </si>
  <si>
    <t>Продажи в России продукции зарубежных марок локализованного производтва</t>
  </si>
  <si>
    <t>Общий объем продаж электронной аппаратуры российского производства</t>
  </si>
  <si>
    <t>Продажи конечной продукции (аппаратуры) российской разработки, OEM+ODM</t>
  </si>
  <si>
    <t>Рост после 2017 года с ускорением за счет инвестиций системных интеграторов и торговых компаний в разработки и производство. Наполнение контролируемых ими каналов поставок российской продукцией после введения таможенных пошлин на электронную аппаратуру. Замедление роста продаж на внутреннем рынке после 2021 года, т.к. инвестиции в расширение зарубежных продаж будут приносить большую отдачу. Российские компании станут направлять больше инвестиций на развитие новых технологий, меньше на расширение линейки стандартной продукции.</t>
  </si>
  <si>
    <t>Согласование мер государственной поддрежки и планов по развитию бизнеса в электронной отрасли России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</si>
</sst>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u val="single"/>
      <sz val="11"/>
      <color indexed="30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41" fillId="0" borderId="0" xfId="0" applyFont="1" applyAlignment="1">
      <alignment/>
    </xf>
    <xf numFmtId="0" fontId="0" fillId="0" borderId="0" xfId="0" applyAlignment="1">
      <alignment wrapText="1"/>
    </xf>
    <xf numFmtId="0" fontId="32" fillId="0" borderId="0" xfId="0" applyFont="1" applyAlignment="1">
      <alignment/>
    </xf>
    <xf numFmtId="165" fontId="0" fillId="0" borderId="0" xfId="59" applyNumberFormat="1" applyFont="1" applyAlignment="1">
      <alignment/>
    </xf>
    <xf numFmtId="0" fontId="32" fillId="0" borderId="0" xfId="0" applyFont="1" applyAlignment="1">
      <alignment wrapText="1"/>
    </xf>
    <xf numFmtId="165" fontId="0" fillId="0" borderId="0" xfId="0" applyNumberFormat="1" applyAlignment="1">
      <alignment/>
    </xf>
    <xf numFmtId="165" fontId="32" fillId="0" borderId="0" xfId="59" applyNumberFormat="1" applyFont="1" applyAlignment="1">
      <alignment/>
    </xf>
    <xf numFmtId="165" fontId="32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0" fillId="0" borderId="0" xfId="56" applyFont="1" applyAlignment="1">
      <alignment/>
    </xf>
    <xf numFmtId="165" fontId="0" fillId="0" borderId="10" xfId="59" applyNumberFormat="1" applyFont="1" applyBorder="1" applyAlignment="1">
      <alignment/>
    </xf>
    <xf numFmtId="166" fontId="0" fillId="0" borderId="10" xfId="56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32" fillId="0" borderId="10" xfId="0" applyFont="1" applyBorder="1" applyAlignment="1">
      <alignment wrapText="1"/>
    </xf>
    <xf numFmtId="9" fontId="32" fillId="0" borderId="10" xfId="56" applyFont="1" applyBorder="1" applyAlignment="1">
      <alignment wrapText="1"/>
    </xf>
    <xf numFmtId="9" fontId="0" fillId="0" borderId="10" xfId="56" applyFont="1" applyBorder="1" applyAlignment="1">
      <alignment/>
    </xf>
    <xf numFmtId="9" fontId="0" fillId="0" borderId="10" xfId="0" applyNumberFormat="1" applyBorder="1" applyAlignment="1">
      <alignment/>
    </xf>
    <xf numFmtId="0" fontId="28" fillId="0" borderId="10" xfId="42" applyBorder="1" applyAlignment="1">
      <alignment/>
    </xf>
    <xf numFmtId="0" fontId="0" fillId="0" borderId="10" xfId="0" applyFont="1" applyBorder="1" applyAlignment="1">
      <alignment/>
    </xf>
    <xf numFmtId="0" fontId="32" fillId="0" borderId="10" xfId="0" applyFont="1" applyBorder="1" applyAlignment="1">
      <alignment/>
    </xf>
    <xf numFmtId="165" fontId="32" fillId="0" borderId="10" xfId="59" applyNumberFormat="1" applyFont="1" applyBorder="1" applyAlignment="1">
      <alignment/>
    </xf>
    <xf numFmtId="9" fontId="0" fillId="0" borderId="10" xfId="56" applyFont="1" applyBorder="1" applyAlignment="1">
      <alignment/>
    </xf>
    <xf numFmtId="9" fontId="32" fillId="0" borderId="10" xfId="56" applyFont="1" applyBorder="1" applyAlignment="1">
      <alignment/>
    </xf>
    <xf numFmtId="165" fontId="32" fillId="0" borderId="10" xfId="0" applyNumberFormat="1" applyFont="1" applyBorder="1" applyAlignment="1">
      <alignment/>
    </xf>
    <xf numFmtId="9" fontId="32" fillId="0" borderId="0" xfId="56" applyFont="1" applyAlignment="1">
      <alignment/>
    </xf>
    <xf numFmtId="0" fontId="0" fillId="0" borderId="0" xfId="0" applyFont="1" applyAlignment="1">
      <alignment/>
    </xf>
    <xf numFmtId="165" fontId="0" fillId="0" borderId="0" xfId="59" applyNumberFormat="1" applyFont="1" applyAlignment="1">
      <alignment/>
    </xf>
    <xf numFmtId="165" fontId="0" fillId="0" borderId="0" xfId="0" applyNumberFormat="1" applyFont="1" applyAlignment="1">
      <alignment/>
    </xf>
    <xf numFmtId="9" fontId="28" fillId="0" borderId="0" xfId="42" applyNumberFormat="1" applyAlignment="1">
      <alignment/>
    </xf>
    <xf numFmtId="10" fontId="0" fillId="0" borderId="0" xfId="56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59" applyFont="1" applyAlignment="1">
      <alignment/>
    </xf>
    <xf numFmtId="0" fontId="28" fillId="0" borderId="0" xfId="42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1" fontId="0" fillId="0" borderId="10" xfId="0" applyNumberFormat="1" applyBorder="1" applyAlignment="1">
      <alignment/>
    </xf>
    <xf numFmtId="0" fontId="42" fillId="0" borderId="0" xfId="0" applyFont="1" applyAlignment="1">
      <alignment/>
    </xf>
    <xf numFmtId="166" fontId="0" fillId="0" borderId="0" xfId="0" applyNumberFormat="1" applyAlignment="1">
      <alignment/>
    </xf>
    <xf numFmtId="166" fontId="32" fillId="0" borderId="10" xfId="56" applyNumberFormat="1" applyFont="1" applyFill="1" applyBorder="1" applyAlignment="1">
      <alignment/>
    </xf>
    <xf numFmtId="1" fontId="0" fillId="0" borderId="11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right" wrapText="1"/>
    </xf>
    <xf numFmtId="0" fontId="0" fillId="0" borderId="10" xfId="0" applyBorder="1" applyAlignment="1">
      <alignment wrapText="1"/>
    </xf>
    <xf numFmtId="0" fontId="32" fillId="0" borderId="1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Прогноз изменений объема российского рынка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и объема производства электронной аппаратуры в России, млн. долларов</a:t>
            </a:r>
          </a:p>
        </c:rich>
      </c:tx>
      <c:layout>
        <c:manualLayout>
          <c:xMode val="factor"/>
          <c:yMode val="factor"/>
          <c:x val="-0.001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"/>
          <c:y val="0.168"/>
          <c:w val="0.6585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'Рост рынков и отрасли'!$C$8:$H$8</c:f>
              <c:strCache>
                <c:ptCount val="1"/>
                <c:pt idx="0">
                  <c:v>Российский рынок электронной аппаратуры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'Рост рынков и отрасли'!$B$11:$B$25</c:f>
              <c:numCache/>
            </c:numRef>
          </c:cat>
          <c:val>
            <c:numRef>
              <c:f>'Рост рынков и отрасли'!$C$11:$C$25</c:f>
              <c:numCache/>
            </c:numRef>
          </c:val>
        </c:ser>
        <c:ser>
          <c:idx val="1"/>
          <c:order val="1"/>
          <c:tx>
            <c:strRef>
              <c:f>'Рост рынков и отрасли'!$Q$8:$Q$9</c:f>
              <c:strCache>
                <c:ptCount val="1"/>
                <c:pt idx="0">
                  <c:v>Общий объем продаж электронной аппаратуры российского производства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'Рост рынков и отрасли'!$B$11:$B$25</c:f>
              <c:numCache/>
            </c:numRef>
          </c:cat>
          <c:val>
            <c:numRef>
              <c:f>'Рост рынков и отрасли'!$Q$11:$Q$25</c:f>
              <c:numCache/>
            </c:numRef>
          </c:val>
        </c:ser>
        <c:overlap val="-27"/>
        <c:gapWidth val="219"/>
        <c:axId val="3285840"/>
        <c:axId val="29572561"/>
      </c:barChart>
      <c:catAx>
        <c:axId val="32858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572561"/>
        <c:crosses val="autoZero"/>
        <c:auto val="1"/>
        <c:lblOffset val="100"/>
        <c:tickLblSkip val="1"/>
        <c:noMultiLvlLbl val="0"/>
      </c:catAx>
      <c:valAx>
        <c:axId val="295725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858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"/>
          <c:y val="0.47075"/>
          <c:w val="0.31825"/>
          <c:h val="0.2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Прогноз развития российского рынка электронной аппаратуры, млн. долларов</a:t>
            </a:r>
          </a:p>
        </c:rich>
      </c:tx>
      <c:layout>
        <c:manualLayout>
          <c:xMode val="factor"/>
          <c:yMode val="factor"/>
          <c:x val="-0.001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"/>
          <c:y val="0.09675"/>
          <c:w val="0.74975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'Рост рынков и отрасли'!$E$9:$F$9</c:f>
              <c:strCache>
                <c:ptCount val="1"/>
                <c:pt idx="0">
                  <c:v>гражданские рынки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'Рост рынков и отрасли'!$B$11:$B$25</c:f>
              <c:numCache/>
            </c:numRef>
          </c:cat>
          <c:val>
            <c:numRef>
              <c:f>'Рост рынков и отрасли'!$E$11:$E$25</c:f>
              <c:numCache/>
            </c:numRef>
          </c:val>
        </c:ser>
        <c:ser>
          <c:idx val="1"/>
          <c:order val="1"/>
          <c:tx>
            <c:strRef>
              <c:f>'Рост рынков и отрасли'!$G$9:$H$9</c:f>
              <c:strCache>
                <c:ptCount val="1"/>
                <c:pt idx="0">
                  <c:v>рынки специальных применений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'Рост рынков и отрасли'!$B$11:$B$25</c:f>
              <c:numCache/>
            </c:numRef>
          </c:cat>
          <c:val>
            <c:numRef>
              <c:f>'Рост рынков и отрасли'!$G$11:$G$25</c:f>
              <c:numCache/>
            </c:numRef>
          </c:val>
        </c:ser>
        <c:gapWidth val="219"/>
        <c:axId val="64826458"/>
        <c:axId val="46567211"/>
      </c:barChart>
      <c:catAx>
        <c:axId val="648264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567211"/>
        <c:crosses val="autoZero"/>
        <c:auto val="1"/>
        <c:lblOffset val="100"/>
        <c:tickLblSkip val="1"/>
        <c:noMultiLvlLbl val="0"/>
      </c:catAx>
      <c:valAx>
        <c:axId val="465672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8264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75"/>
          <c:y val="0.48175"/>
          <c:w val="0.2275"/>
          <c:h val="0.1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Объем добавленной стоимости российских производств 
электронной аппаратуры по заказчикам/собственникам, млн. долларо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"/>
          <c:y val="0.23475"/>
          <c:w val="0.636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'Рост рынков и отрасли'!$S$9</c:f>
              <c:strCache>
                <c:ptCount val="1"/>
                <c:pt idx="0">
                  <c:v>собственное производство российских OEM-компаний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'Рост рынков и отрасли'!$B$11:$B$25</c:f>
              <c:numCache/>
            </c:numRef>
          </c:cat>
          <c:val>
            <c:numRef>
              <c:f>'Рост рынков и отрасли'!$S$11:$S$25</c:f>
              <c:numCache/>
            </c:numRef>
          </c:val>
        </c:ser>
        <c:ser>
          <c:idx val="2"/>
          <c:order val="1"/>
          <c:tx>
            <c:strRef>
              <c:f>'Рост рынков и отрасли'!$T$9</c:f>
              <c:strCache>
                <c:ptCount val="1"/>
                <c:pt idx="0">
                  <c:v>контрактное производство по заказам российских OEM-компаний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'Рост рынков и отрасли'!$B$11:$B$25</c:f>
              <c:numCache/>
            </c:numRef>
          </c:cat>
          <c:val>
            <c:numRef>
              <c:f>'Рост рынков и отрасли'!$T$11:$T$25</c:f>
              <c:numCache/>
            </c:numRef>
          </c:val>
        </c:ser>
        <c:ser>
          <c:idx val="1"/>
          <c:order val="2"/>
          <c:tx>
            <c:strRef>
              <c:f>'Рост рынков и отрасли'!$U$9</c:f>
              <c:strCache>
                <c:ptCount val="1"/>
                <c:pt idx="0">
                  <c:v>собственное производство зарубежных компаний в России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'Рост рынков и отрасли'!$B$11:$B$25</c:f>
              <c:numCache/>
            </c:numRef>
          </c:cat>
          <c:val>
            <c:numRef>
              <c:f>'Рост рынков и отрасли'!$U$11:$U$25</c:f>
              <c:numCache/>
            </c:numRef>
          </c:val>
        </c:ser>
        <c:ser>
          <c:idx val="3"/>
          <c:order val="3"/>
          <c:tx>
            <c:strRef>
              <c:f>'Рост рынков и отрасли'!$V$9</c:f>
              <c:strCache>
                <c:ptCount val="1"/>
                <c:pt idx="0">
                  <c:v>контрактное производство по заказам зарубежных компаний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'Рост рынков и отрасли'!$B$11:$B$25</c:f>
              <c:numCache/>
            </c:numRef>
          </c:cat>
          <c:val>
            <c:numRef>
              <c:f>'Рост рынков и отрасли'!$V$11:$V$25</c:f>
              <c:numCache/>
            </c:numRef>
          </c:val>
        </c:ser>
        <c:overlap val="100"/>
        <c:gapWidth val="219"/>
        <c:axId val="16451716"/>
        <c:axId val="13847717"/>
      </c:barChart>
      <c:catAx>
        <c:axId val="164517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847717"/>
        <c:crosses val="autoZero"/>
        <c:auto val="1"/>
        <c:lblOffset val="100"/>
        <c:tickLblSkip val="1"/>
        <c:noMultiLvlLbl val="0"/>
      </c:catAx>
      <c:valAx>
        <c:axId val="138477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4517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"/>
          <c:y val="0.39575"/>
          <c:w val="0.34225"/>
          <c:h val="0.4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Объем продаж электронной аппаратуры российской разработки (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OEM+ODM)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, млн. долларов</a:t>
            </a:r>
          </a:p>
        </c:rich>
      </c:tx>
      <c:layout>
        <c:manualLayout>
          <c:xMode val="factor"/>
          <c:yMode val="factor"/>
          <c:x val="-0.001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5"/>
          <c:w val="0.6595"/>
          <c:h val="0.84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'Рост рынков и отрасли'!$I$9:$J$9</c:f>
              <c:strCache>
                <c:ptCount val="1"/>
                <c:pt idx="0">
                  <c:v>на внутренних рынках гражданской продукции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'Рост рынков и отрасли'!$B$11:$B$25</c:f>
              <c:numCache/>
            </c:numRef>
          </c:cat>
          <c:val>
            <c:numRef>
              <c:f>'Рост рынков и отрасли'!$I$11:$I$25</c:f>
              <c:numCache/>
            </c:numRef>
          </c:val>
        </c:ser>
        <c:ser>
          <c:idx val="1"/>
          <c:order val="1"/>
          <c:tx>
            <c:strRef>
              <c:f>'Рост рынков и отрасли'!$K$9:$L$9</c:f>
              <c:strCache>
                <c:ptCount val="1"/>
                <c:pt idx="0">
                  <c:v>на рынке продукции специальных применений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'Рост рынков и отрасли'!$B$11:$B$25</c:f>
              <c:numCache/>
            </c:numRef>
          </c:cat>
          <c:val>
            <c:numRef>
              <c:f>'Рост рынков и отрасли'!$K$11:$K$25</c:f>
              <c:numCache/>
            </c:numRef>
          </c:val>
        </c:ser>
        <c:ser>
          <c:idx val="2"/>
          <c:order val="2"/>
          <c:tx>
            <c:strRef>
              <c:f>'Рост рынков и отрасли'!$M$9:$N$9</c:f>
              <c:strCache>
                <c:ptCount val="1"/>
                <c:pt idx="0">
                  <c:v>на зарубежных рынках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'Рост рынков и отрасли'!$B$11:$B$25</c:f>
              <c:numCache/>
            </c:numRef>
          </c:cat>
          <c:val>
            <c:numRef>
              <c:f>'Рост рынков и отрасли'!$M$11:$M$25</c:f>
              <c:numCache/>
            </c:numRef>
          </c:val>
        </c:ser>
        <c:overlap val="100"/>
        <c:gapWidth val="219"/>
        <c:axId val="57520590"/>
        <c:axId val="47923263"/>
      </c:barChart>
      <c:catAx>
        <c:axId val="575205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923263"/>
        <c:crosses val="autoZero"/>
        <c:auto val="1"/>
        <c:lblOffset val="100"/>
        <c:tickLblSkip val="1"/>
        <c:noMultiLvlLbl val="0"/>
      </c:catAx>
      <c:valAx>
        <c:axId val="479232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5205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47925"/>
          <c:w val="0.3175"/>
          <c:h val="0.2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Российский рынок электронной аппаратуры, млн. долларов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9"/>
          <c:y val="0.153"/>
          <c:w val="0.38275"/>
          <c:h val="0.7642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'Рынки конечной продукции'!$A$5:$A$14</c:f>
              <c:strCache/>
            </c:strRef>
          </c:cat>
          <c:val>
            <c:numRef>
              <c:f>'Рынки конечной продукции'!$B$5:$B$14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"/>
          <c:y val="0.13275"/>
          <c:w val="0.28675"/>
          <c:h val="0.8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54</xdr:row>
      <xdr:rowOff>28575</xdr:rowOff>
    </xdr:from>
    <xdr:to>
      <xdr:col>12</xdr:col>
      <xdr:colOff>523875</xdr:colOff>
      <xdr:row>71</xdr:row>
      <xdr:rowOff>161925</xdr:rowOff>
    </xdr:to>
    <xdr:graphicFrame>
      <xdr:nvGraphicFramePr>
        <xdr:cNvPr id="1" name="Диаграмма 3"/>
        <xdr:cNvGraphicFramePr/>
      </xdr:nvGraphicFramePr>
      <xdr:xfrm>
        <a:off x="1419225" y="14116050"/>
        <a:ext cx="7810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276225</xdr:colOff>
      <xdr:row>35</xdr:row>
      <xdr:rowOff>114300</xdr:rowOff>
    </xdr:from>
    <xdr:to>
      <xdr:col>12</xdr:col>
      <xdr:colOff>561975</xdr:colOff>
      <xdr:row>53</xdr:row>
      <xdr:rowOff>47625</xdr:rowOff>
    </xdr:to>
    <xdr:graphicFrame>
      <xdr:nvGraphicFramePr>
        <xdr:cNvPr id="2" name="Диаграмма 4"/>
        <xdr:cNvGraphicFramePr/>
      </xdr:nvGraphicFramePr>
      <xdr:xfrm>
        <a:off x="1457325" y="10582275"/>
        <a:ext cx="781050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257175</xdr:colOff>
      <xdr:row>72</xdr:row>
      <xdr:rowOff>76200</xdr:rowOff>
    </xdr:from>
    <xdr:to>
      <xdr:col>12</xdr:col>
      <xdr:colOff>542925</xdr:colOff>
      <xdr:row>90</xdr:row>
      <xdr:rowOff>28575</xdr:rowOff>
    </xdr:to>
    <xdr:graphicFrame>
      <xdr:nvGraphicFramePr>
        <xdr:cNvPr id="3" name="Диаграмма 5"/>
        <xdr:cNvGraphicFramePr/>
      </xdr:nvGraphicFramePr>
      <xdr:xfrm>
        <a:off x="1438275" y="17592675"/>
        <a:ext cx="7810500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266700</xdr:colOff>
      <xdr:row>90</xdr:row>
      <xdr:rowOff>152400</xdr:rowOff>
    </xdr:from>
    <xdr:to>
      <xdr:col>12</xdr:col>
      <xdr:colOff>552450</xdr:colOff>
      <xdr:row>108</xdr:row>
      <xdr:rowOff>85725</xdr:rowOff>
    </xdr:to>
    <xdr:graphicFrame>
      <xdr:nvGraphicFramePr>
        <xdr:cNvPr id="4" name="Диаграмма 6"/>
        <xdr:cNvGraphicFramePr/>
      </xdr:nvGraphicFramePr>
      <xdr:xfrm>
        <a:off x="1447800" y="21097875"/>
        <a:ext cx="781050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31</xdr:row>
      <xdr:rowOff>133350</xdr:rowOff>
    </xdr:from>
    <xdr:to>
      <xdr:col>5</xdr:col>
      <xdr:colOff>219075</xdr:colOff>
      <xdr:row>56</xdr:row>
      <xdr:rowOff>28575</xdr:rowOff>
    </xdr:to>
    <xdr:graphicFrame>
      <xdr:nvGraphicFramePr>
        <xdr:cNvPr id="1" name="Диаграмма 1"/>
        <xdr:cNvGraphicFramePr/>
      </xdr:nvGraphicFramePr>
      <xdr:xfrm>
        <a:off x="142875" y="6505575"/>
        <a:ext cx="856297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2</xdr:row>
      <xdr:rowOff>104775</xdr:rowOff>
    </xdr:from>
    <xdr:to>
      <xdr:col>16</xdr:col>
      <xdr:colOff>476250</xdr:colOff>
      <xdr:row>21</xdr:row>
      <xdr:rowOff>38100</xdr:rowOff>
    </xdr:to>
    <xdr:pic>
      <xdr:nvPicPr>
        <xdr:cNvPr id="1" name="Рисунок 1" descr="http://screenshot.ru/b9ecd575fc75322530db1ff17d8457f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85775"/>
          <a:ext cx="5943600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atek.org/rynok-bytovoj-texniki-i-elektroniki-v-rf-v-2015-godu-po-prognozu-upadet-na-22-proc-gfk" TargetMode="External" /><Relationship Id="rId2" Type="http://schemas.openxmlformats.org/officeDocument/2006/relationships/hyperlink" Target="http://www.tadviser.ru/index.php/&#1057;&#1090;&#1072;&#1090;&#1100;&#1103;:&#1057;&#1084;&#1072;&#1088;&#1090;&#1092;&#1086;&#1085;&#1099;_(&#1088;&#1099;&#1085;&#1086;&#1082;_&#1056;&#1086;&#1089;&#1089;&#1080;&#1080;)" TargetMode="External" /><Relationship Id="rId3" Type="http://schemas.openxmlformats.org/officeDocument/2006/relationships/hyperlink" Target="http://www.3dnews.ru/928890" TargetMode="External" /><Relationship Id="rId4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raexpert.ru/docbank/66b/3d6/388/4e13bbeb106c0f4366551fe.pdf" TargetMode="External" /><Relationship Id="rId2" Type="http://schemas.openxmlformats.org/officeDocument/2006/relationships/hyperlink" Target="http://new.abb.com/ru/o-nas/russia" TargetMode="External" /><Relationship Id="rId3" Type="http://schemas.openxmlformats.org/officeDocument/2006/relationships/hyperlink" Target="http://www.schneider-electric.ru/ru/about-us/company-profile/production-in-russia.jsp" TargetMode="External" /><Relationship Id="rId4" Type="http://schemas.openxmlformats.org/officeDocument/2006/relationships/hyperlink" Target="http://www.vest-news.ru/article/60488," TargetMode="External" /><Relationship Id="rId5" Type="http://schemas.openxmlformats.org/officeDocument/2006/relationships/hyperlink" Target="http://www2.emersonprocess.com/ru-RU/news/pr/Pages/pr_metranflow.aspx" TargetMode="External" /><Relationship Id="rId6" Type="http://schemas.openxmlformats.org/officeDocument/2006/relationships/hyperlink" Target="https://www.systemsensor.ru/about/" TargetMode="External" /><Relationship Id="rId7" Type="http://schemas.openxmlformats.org/officeDocument/2006/relationships/hyperlink" Target="http://jabil-russia.ru/" TargetMode="External" /><Relationship Id="rId8" Type="http://schemas.openxmlformats.org/officeDocument/2006/relationships/hyperlink" Target="http://ingenico.ru/about.html" TargetMode="External" /><Relationship Id="rId9" Type="http://schemas.openxmlformats.org/officeDocument/2006/relationships/hyperlink" Target="http://tpvrussia.ru/factory/production/" TargetMode="External" /><Relationship Id="rId10" Type="http://schemas.openxmlformats.org/officeDocument/2006/relationships/hyperlink" Target="http://jabil-russia.ru/" TargetMode="External" /><Relationship Id="rId11" Type="http://schemas.openxmlformats.org/officeDocument/2006/relationships/hyperlink" Target="http://www.orbitone.se/ru/this-is-orbit-one/production-units/russia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technoserv.com/about/company/" TargetMode="External" /><Relationship Id="rId2" Type="http://schemas.openxmlformats.org/officeDocument/2006/relationships/hyperlink" Target="http://lanit.ru/structure/region/" TargetMode="External" /><Relationship Id="rId3" Type="http://schemas.openxmlformats.org/officeDocument/2006/relationships/hyperlink" Target="http://www.ncc.ru/" TargetMode="External" /><Relationship Id="rId4" Type="http://schemas.openxmlformats.org/officeDocument/2006/relationships/hyperlink" Target="http://www.itgrp.ru/structure-of-holding/" TargetMode="External" /><Relationship Id="rId5" Type="http://schemas.openxmlformats.org/officeDocument/2006/relationships/hyperlink" Target="http://softlinegroup.com/ru/business_description/structure.php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0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3" width="35.140625" style="0" customWidth="1"/>
    <col min="4" max="4" width="37.28125" style="0" customWidth="1"/>
    <col min="5" max="5" width="44.7109375" style="0" customWidth="1"/>
  </cols>
  <sheetData>
    <row r="3" spans="1:2" ht="23.25">
      <c r="A3" s="4" t="s">
        <v>241</v>
      </c>
      <c r="B3" s="4"/>
    </row>
    <row r="6" spans="1:5" ht="14.25">
      <c r="A6" s="51"/>
      <c r="B6" s="52" t="s">
        <v>221</v>
      </c>
      <c r="C6" s="51" t="s">
        <v>3</v>
      </c>
      <c r="D6" s="51" t="s">
        <v>2</v>
      </c>
      <c r="E6" s="51"/>
    </row>
    <row r="7" spans="1:5" ht="28.5">
      <c r="A7" s="51"/>
      <c r="B7" s="53"/>
      <c r="C7" s="51"/>
      <c r="D7" s="1" t="s">
        <v>0</v>
      </c>
      <c r="E7" s="1" t="s">
        <v>1</v>
      </c>
    </row>
    <row r="8" spans="1:5" ht="158.25">
      <c r="A8" s="49" t="s">
        <v>228</v>
      </c>
      <c r="B8" s="3" t="s">
        <v>225</v>
      </c>
      <c r="C8" s="3" t="s">
        <v>5</v>
      </c>
      <c r="D8" s="3" t="s">
        <v>229</v>
      </c>
      <c r="E8" s="3" t="s">
        <v>233</v>
      </c>
    </row>
    <row r="9" spans="1:5" ht="144">
      <c r="A9" s="49" t="s">
        <v>223</v>
      </c>
      <c r="B9" s="3" t="s">
        <v>226</v>
      </c>
      <c r="C9" s="3" t="s">
        <v>222</v>
      </c>
      <c r="D9" s="3" t="s">
        <v>230</v>
      </c>
      <c r="E9" s="3" t="s">
        <v>232</v>
      </c>
    </row>
    <row r="10" spans="1:5" ht="100.5">
      <c r="A10" s="49" t="s">
        <v>224</v>
      </c>
      <c r="B10" s="3" t="s">
        <v>227</v>
      </c>
      <c r="C10" s="3" t="s">
        <v>4</v>
      </c>
      <c r="D10" s="3" t="s">
        <v>231</v>
      </c>
      <c r="E10" s="3" t="s">
        <v>234</v>
      </c>
    </row>
  </sheetData>
  <sheetProtection/>
  <mergeCells count="4">
    <mergeCell ref="D6:E6"/>
    <mergeCell ref="C6:C7"/>
    <mergeCell ref="A6:A7"/>
    <mergeCell ref="B6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0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AM35"/>
  <sheetViews>
    <sheetView zoomScalePageLayoutView="0" workbookViewId="0" topLeftCell="A7">
      <pane xSplit="2" ySplit="4" topLeftCell="C11" activePane="bottomRight" state="frozen"/>
      <selection pane="topLeft" activeCell="A7" sqref="A7"/>
      <selection pane="topRight" activeCell="C7" sqref="C7"/>
      <selection pane="bottomLeft" activeCell="A11" sqref="A11"/>
      <selection pane="bottomRight" activeCell="A35" sqref="A35"/>
    </sheetView>
  </sheetViews>
  <sheetFormatPr defaultColWidth="9.140625" defaultRowHeight="15"/>
  <cols>
    <col min="2" max="2" width="8.57421875" style="0" customWidth="1"/>
    <col min="3" max="16" width="11.28125" style="0" customWidth="1"/>
    <col min="17" max="17" width="27.8515625" style="0" customWidth="1"/>
    <col min="18" max="18" width="24.57421875" style="0" customWidth="1"/>
    <col min="19" max="20" width="18.00390625" style="0" customWidth="1"/>
    <col min="21" max="25" width="18.28125" style="0" customWidth="1"/>
    <col min="26" max="26" width="18.421875" style="0" customWidth="1"/>
    <col min="27" max="28" width="18.28125" style="0" customWidth="1"/>
    <col min="29" max="29" width="18.140625" style="0" customWidth="1"/>
    <col min="30" max="32" width="18.28125" style="0" customWidth="1"/>
    <col min="34" max="34" width="21.57421875" style="0" customWidth="1"/>
    <col min="35" max="37" width="18.28125" style="0" customWidth="1"/>
    <col min="38" max="38" width="18.140625" style="0" customWidth="1"/>
  </cols>
  <sheetData>
    <row r="8" spans="1:38" ht="75" customHeight="1">
      <c r="A8" s="2"/>
      <c r="B8" s="2"/>
      <c r="C8" s="63" t="s">
        <v>19</v>
      </c>
      <c r="D8" s="63"/>
      <c r="E8" s="63"/>
      <c r="F8" s="63"/>
      <c r="G8" s="63"/>
      <c r="H8" s="63"/>
      <c r="I8" s="58" t="s">
        <v>239</v>
      </c>
      <c r="J8" s="60"/>
      <c r="K8" s="60"/>
      <c r="L8" s="60"/>
      <c r="M8" s="60"/>
      <c r="N8" s="60"/>
      <c r="O8" s="60"/>
      <c r="P8" s="59"/>
      <c r="Q8" s="61" t="s">
        <v>238</v>
      </c>
      <c r="R8" s="61" t="s">
        <v>237</v>
      </c>
      <c r="S8" s="63" t="s">
        <v>73</v>
      </c>
      <c r="T8" s="63"/>
      <c r="U8" s="63"/>
      <c r="V8" s="63"/>
      <c r="W8" s="63" t="s">
        <v>8</v>
      </c>
      <c r="X8" s="63"/>
      <c r="Y8" s="63" t="s">
        <v>9</v>
      </c>
      <c r="Z8" s="63"/>
      <c r="AA8" s="63" t="s">
        <v>10</v>
      </c>
      <c r="AB8" s="63"/>
      <c r="AC8" s="63" t="s">
        <v>13</v>
      </c>
      <c r="AD8" s="63"/>
      <c r="AE8" s="63" t="s">
        <v>14</v>
      </c>
      <c r="AF8" s="63"/>
      <c r="AH8" s="63" t="s">
        <v>70</v>
      </c>
      <c r="AI8" s="63"/>
      <c r="AJ8" s="63" t="s">
        <v>159</v>
      </c>
      <c r="AK8" s="63"/>
      <c r="AL8" s="63"/>
    </row>
    <row r="9" spans="1:38" s="5" customFormat="1" ht="75" customHeight="1">
      <c r="A9" s="1"/>
      <c r="B9" s="1"/>
      <c r="C9" s="63" t="s">
        <v>6</v>
      </c>
      <c r="D9" s="63"/>
      <c r="E9" s="63" t="s">
        <v>60</v>
      </c>
      <c r="F9" s="63"/>
      <c r="G9" s="63" t="s">
        <v>65</v>
      </c>
      <c r="H9" s="63"/>
      <c r="I9" s="63" t="s">
        <v>74</v>
      </c>
      <c r="J9" s="63"/>
      <c r="K9" s="58" t="s">
        <v>75</v>
      </c>
      <c r="L9" s="59"/>
      <c r="M9" s="63" t="s">
        <v>7</v>
      </c>
      <c r="N9" s="63"/>
      <c r="O9" s="58" t="s">
        <v>69</v>
      </c>
      <c r="P9" s="59"/>
      <c r="Q9" s="62"/>
      <c r="R9" s="62"/>
      <c r="S9" s="1" t="s">
        <v>15</v>
      </c>
      <c r="T9" s="1" t="s">
        <v>16</v>
      </c>
      <c r="U9" s="1" t="s">
        <v>17</v>
      </c>
      <c r="V9" s="1" t="s">
        <v>18</v>
      </c>
      <c r="W9" s="1" t="s">
        <v>11</v>
      </c>
      <c r="X9" s="1" t="s">
        <v>12</v>
      </c>
      <c r="Y9" s="1" t="s">
        <v>11</v>
      </c>
      <c r="Z9" s="1" t="s">
        <v>12</v>
      </c>
      <c r="AA9" s="1" t="s">
        <v>11</v>
      </c>
      <c r="AB9" s="1" t="s">
        <v>12</v>
      </c>
      <c r="AC9" s="1" t="s">
        <v>11</v>
      </c>
      <c r="AD9" s="1" t="s">
        <v>12</v>
      </c>
      <c r="AE9" s="1" t="s">
        <v>11</v>
      </c>
      <c r="AF9" s="1" t="s">
        <v>12</v>
      </c>
      <c r="AH9" s="1" t="s">
        <v>72</v>
      </c>
      <c r="AI9" s="1" t="s">
        <v>71</v>
      </c>
      <c r="AJ9" s="1" t="s">
        <v>158</v>
      </c>
      <c r="AK9" s="1" t="s">
        <v>157</v>
      </c>
      <c r="AL9" s="1" t="s">
        <v>6</v>
      </c>
    </row>
    <row r="10" spans="1:38" s="5" customFormat="1" ht="28.5">
      <c r="A10" s="1"/>
      <c r="B10" s="1" t="s">
        <v>236</v>
      </c>
      <c r="C10" s="1" t="s">
        <v>22</v>
      </c>
      <c r="D10" s="1" t="s">
        <v>21</v>
      </c>
      <c r="E10" s="1" t="s">
        <v>20</v>
      </c>
      <c r="F10" s="1" t="s">
        <v>21</v>
      </c>
      <c r="G10" s="1" t="s">
        <v>20</v>
      </c>
      <c r="H10" s="1" t="s">
        <v>21</v>
      </c>
      <c r="I10" s="1" t="s">
        <v>20</v>
      </c>
      <c r="J10" s="1" t="s">
        <v>21</v>
      </c>
      <c r="K10" s="1" t="s">
        <v>20</v>
      </c>
      <c r="L10" s="1" t="s">
        <v>21</v>
      </c>
      <c r="M10" s="1" t="s">
        <v>20</v>
      </c>
      <c r="N10" s="1" t="s">
        <v>21</v>
      </c>
      <c r="O10" s="1" t="s">
        <v>20</v>
      </c>
      <c r="P10" s="1" t="s">
        <v>21</v>
      </c>
      <c r="Q10" s="50"/>
      <c r="R10" s="50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H10" s="1"/>
      <c r="AI10" s="1"/>
      <c r="AJ10" s="1"/>
      <c r="AK10" s="1"/>
      <c r="AL10" s="1"/>
    </row>
    <row r="11" spans="1:39" ht="14.25">
      <c r="A11" s="2">
        <v>1</v>
      </c>
      <c r="B11" s="2">
        <v>2016</v>
      </c>
      <c r="C11" s="14">
        <v>39200</v>
      </c>
      <c r="D11" s="15">
        <v>0</v>
      </c>
      <c r="E11" s="16">
        <f>C11-G11</f>
        <v>28700</v>
      </c>
      <c r="F11" s="15">
        <v>-0.01</v>
      </c>
      <c r="G11" s="14">
        <v>10500</v>
      </c>
      <c r="H11" s="15">
        <v>0</v>
      </c>
      <c r="I11" s="16">
        <f>E11*'Рынки конечной продукции'!E15</f>
        <v>4094.9999999999995</v>
      </c>
      <c r="J11" s="19">
        <v>0</v>
      </c>
      <c r="K11" s="16">
        <f>G11*0.9</f>
        <v>9450</v>
      </c>
      <c r="L11" s="15">
        <v>0</v>
      </c>
      <c r="M11" s="16">
        <f>I11*0.05</f>
        <v>204.75</v>
      </c>
      <c r="N11" s="20">
        <v>0.2</v>
      </c>
      <c r="O11" s="16">
        <f>I11+K11+M11</f>
        <v>13749.75</v>
      </c>
      <c r="P11" s="20">
        <v>0</v>
      </c>
      <c r="Q11" s="14">
        <f>(S11+T11+U11+V11)/0.15</f>
        <v>16333.667</v>
      </c>
      <c r="R11" s="14">
        <f>(U11+V11)/0.15</f>
        <v>2870</v>
      </c>
      <c r="S11" s="16">
        <f>(I11*(1-AH11)*0.15)+(K11*(1-AI11)*0.15)+(M11*30%*(1-AH11)*0.15)</f>
        <v>1857.8652749999999</v>
      </c>
      <c r="T11" s="16">
        <f>(I11*AH11*0.15)+(K11*AI11*0.1)+(M11*70%*AH11*0.15)</f>
        <v>161.684775</v>
      </c>
      <c r="U11" s="41">
        <f aca="true" t="shared" si="0" ref="U11:U25">E11*AJ11*0.15</f>
        <v>387.45</v>
      </c>
      <c r="V11" s="16">
        <f aca="true" t="shared" si="1" ref="V11:V25">E11*AK11*0.15</f>
        <v>43.05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H11" s="20">
        <v>0.18</v>
      </c>
      <c r="AI11" s="20">
        <v>0.05</v>
      </c>
      <c r="AJ11" s="20">
        <v>0.09</v>
      </c>
      <c r="AK11" s="20">
        <v>0.01</v>
      </c>
      <c r="AL11" s="20">
        <v>0.1</v>
      </c>
      <c r="AM11" t="s">
        <v>168</v>
      </c>
    </row>
    <row r="12" spans="1:38" ht="14.25">
      <c r="A12" s="2">
        <v>2</v>
      </c>
      <c r="B12" s="2">
        <v>2017</v>
      </c>
      <c r="C12" s="14">
        <f>E12+G12</f>
        <v>39487</v>
      </c>
      <c r="D12" s="15">
        <f>(C12-C11)/C11</f>
        <v>0.007321428571428572</v>
      </c>
      <c r="E12" s="14">
        <f>E11*(1+F12)</f>
        <v>28987</v>
      </c>
      <c r="F12" s="15">
        <v>0.01</v>
      </c>
      <c r="G12" s="14">
        <f>G11*(1+H12)</f>
        <v>10500</v>
      </c>
      <c r="H12" s="15">
        <v>0</v>
      </c>
      <c r="I12" s="14">
        <f>I11*(1+J12)</f>
        <v>4504.5</v>
      </c>
      <c r="J12" s="19">
        <v>0.1</v>
      </c>
      <c r="K12" s="14">
        <f>K11*(1+L12)</f>
        <v>9450</v>
      </c>
      <c r="L12" s="15">
        <v>0</v>
      </c>
      <c r="M12" s="14">
        <f>M11*(1+N12)</f>
        <v>409.5</v>
      </c>
      <c r="N12" s="20">
        <v>1</v>
      </c>
      <c r="O12" s="16">
        <f aca="true" t="shared" si="2" ref="O12:O24">I12+K12+M12</f>
        <v>14364</v>
      </c>
      <c r="P12" s="15">
        <f aca="true" t="shared" si="3" ref="P12:P25">(O12-O11)/O11</f>
        <v>0.044673539518900345</v>
      </c>
      <c r="Q12" s="14">
        <f aca="true" t="shared" si="4" ref="Q12:Q25">(S12+T12+U12+V12)/0.15</f>
        <v>17397.912</v>
      </c>
      <c r="R12" s="14">
        <f aca="true" t="shared" si="5" ref="R12:R25">(U12+V12)/0.15</f>
        <v>3478.44</v>
      </c>
      <c r="S12" s="16">
        <f aca="true" t="shared" si="6" ref="S12:S25">(I12*(1-AH12)*0.15)+(K12*(1-AI12)*0.15)+(M12*30%*(1-AH12)*0.15)</f>
        <v>1894.6730250000003</v>
      </c>
      <c r="T12" s="16">
        <f aca="true" t="shared" si="7" ref="T12:T25">(I12*AH12*0.15)+(K12*AI12*0.1)+(M12*70%*AH12*0.15)</f>
        <v>193.24777500000002</v>
      </c>
      <c r="U12" s="41">
        <f t="shared" si="0"/>
        <v>434.805</v>
      </c>
      <c r="V12" s="16">
        <f t="shared" si="1"/>
        <v>86.961</v>
      </c>
      <c r="W12" s="2"/>
      <c r="X12" s="2"/>
      <c r="Y12" s="2"/>
      <c r="Z12" s="2"/>
      <c r="AA12" s="2"/>
      <c r="AB12" s="2"/>
      <c r="AC12" s="2"/>
      <c r="AD12" s="2"/>
      <c r="AE12" s="2"/>
      <c r="AF12" s="2"/>
      <c r="AH12" s="19">
        <v>0.19</v>
      </c>
      <c r="AI12" s="20">
        <v>0.06</v>
      </c>
      <c r="AJ12" s="19">
        <v>0.1</v>
      </c>
      <c r="AK12" s="19">
        <v>0.02</v>
      </c>
      <c r="AL12" s="20">
        <f>AJ12+AK12</f>
        <v>0.12000000000000001</v>
      </c>
    </row>
    <row r="13" spans="1:38" ht="14.25">
      <c r="A13" s="2">
        <v>3</v>
      </c>
      <c r="B13" s="2">
        <v>2018</v>
      </c>
      <c r="C13" s="14">
        <f aca="true" t="shared" si="8" ref="C13:C25">E13+G13</f>
        <v>40066.740000000005</v>
      </c>
      <c r="D13" s="15">
        <f aca="true" t="shared" si="9" ref="D13:D25">(C13-C12)/C12</f>
        <v>0.014681794008154714</v>
      </c>
      <c r="E13" s="14">
        <f aca="true" t="shared" si="10" ref="E13:E25">E12*(1+F13)</f>
        <v>29566.74</v>
      </c>
      <c r="F13" s="15">
        <v>0.02</v>
      </c>
      <c r="G13" s="14">
        <f aca="true" t="shared" si="11" ref="G13:G25">G12*(1+H13)</f>
        <v>10500</v>
      </c>
      <c r="H13" s="15">
        <v>0</v>
      </c>
      <c r="I13" s="14">
        <f aca="true" t="shared" si="12" ref="I13:I25">I12*(1+J13)</f>
        <v>5180.174999999999</v>
      </c>
      <c r="J13" s="19">
        <v>0.15</v>
      </c>
      <c r="K13" s="14">
        <f aca="true" t="shared" si="13" ref="K13:K25">K12*(1+L13)</f>
        <v>9450</v>
      </c>
      <c r="L13" s="15">
        <v>0</v>
      </c>
      <c r="M13" s="14">
        <f aca="true" t="shared" si="14" ref="M13:M25">M12*(1+N13)</f>
        <v>819</v>
      </c>
      <c r="N13" s="20">
        <v>1</v>
      </c>
      <c r="O13" s="16">
        <f t="shared" si="2"/>
        <v>15449.175</v>
      </c>
      <c r="P13" s="15">
        <f t="shared" si="3"/>
        <v>0.07554824561403503</v>
      </c>
      <c r="Q13" s="14">
        <f t="shared" si="4"/>
        <v>19124.405999999995</v>
      </c>
      <c r="R13" s="14">
        <f t="shared" si="5"/>
        <v>4435.011</v>
      </c>
      <c r="S13" s="16">
        <f t="shared" si="6"/>
        <v>1955.2049999999997</v>
      </c>
      <c r="T13" s="16">
        <f t="shared" si="7"/>
        <v>248.20425</v>
      </c>
      <c r="U13" s="41">
        <f t="shared" si="0"/>
        <v>487.85121000000004</v>
      </c>
      <c r="V13" s="16">
        <f t="shared" si="1"/>
        <v>177.40044000000003</v>
      </c>
      <c r="W13" s="2"/>
      <c r="X13" s="2"/>
      <c r="Y13" s="2"/>
      <c r="Z13" s="2"/>
      <c r="AA13" s="2"/>
      <c r="AB13" s="2"/>
      <c r="AC13" s="2"/>
      <c r="AD13" s="2"/>
      <c r="AE13" s="2"/>
      <c r="AF13" s="2"/>
      <c r="AH13" s="19">
        <v>0.2</v>
      </c>
      <c r="AI13" s="20">
        <v>0.08</v>
      </c>
      <c r="AJ13" s="19">
        <v>0.11</v>
      </c>
      <c r="AK13" s="19">
        <v>0.04</v>
      </c>
      <c r="AL13" s="20">
        <f aca="true" t="shared" si="15" ref="AL13:AL24">AJ13+AK13</f>
        <v>0.15</v>
      </c>
    </row>
    <row r="14" spans="1:38" ht="14.25">
      <c r="A14" s="2">
        <v>4</v>
      </c>
      <c r="B14" s="2">
        <v>2019</v>
      </c>
      <c r="C14" s="14">
        <f t="shared" si="8"/>
        <v>40953.74220000001</v>
      </c>
      <c r="D14" s="15">
        <f t="shared" si="9"/>
        <v>0.02213811755086644</v>
      </c>
      <c r="E14" s="14">
        <f t="shared" si="10"/>
        <v>30453.742200000004</v>
      </c>
      <c r="F14" s="15">
        <v>0.03</v>
      </c>
      <c r="G14" s="14">
        <f t="shared" si="11"/>
        <v>10500</v>
      </c>
      <c r="H14" s="15">
        <v>0</v>
      </c>
      <c r="I14" s="14">
        <f t="shared" si="12"/>
        <v>6216.209999999999</v>
      </c>
      <c r="J14" s="19">
        <v>0.2</v>
      </c>
      <c r="K14" s="14">
        <f t="shared" si="13"/>
        <v>9450</v>
      </c>
      <c r="L14" s="15">
        <v>0</v>
      </c>
      <c r="M14" s="14">
        <f t="shared" si="14"/>
        <v>1638</v>
      </c>
      <c r="N14" s="20">
        <v>1</v>
      </c>
      <c r="O14" s="16">
        <f t="shared" si="2"/>
        <v>17304.21</v>
      </c>
      <c r="P14" s="15">
        <f t="shared" si="3"/>
        <v>0.12007340197777551</v>
      </c>
      <c r="Q14" s="14">
        <f t="shared" si="4"/>
        <v>22375.487862</v>
      </c>
      <c r="R14" s="14">
        <f t="shared" si="5"/>
        <v>6395.285862000001</v>
      </c>
      <c r="S14" s="16">
        <f t="shared" si="6"/>
        <v>2070.601785</v>
      </c>
      <c r="T14" s="16">
        <f t="shared" si="7"/>
        <v>326.42851499999995</v>
      </c>
      <c r="U14" s="41">
        <f t="shared" si="0"/>
        <v>593.8479729000001</v>
      </c>
      <c r="V14" s="16">
        <f t="shared" si="1"/>
        <v>365.44490640000004</v>
      </c>
      <c r="W14" s="2"/>
      <c r="X14" s="2"/>
      <c r="Y14" s="2"/>
      <c r="Z14" s="2"/>
      <c r="AA14" s="2"/>
      <c r="AB14" s="2"/>
      <c r="AC14" s="2"/>
      <c r="AD14" s="2"/>
      <c r="AE14" s="2"/>
      <c r="AF14" s="2"/>
      <c r="AH14" s="19">
        <v>0.21</v>
      </c>
      <c r="AI14" s="20">
        <v>0.1</v>
      </c>
      <c r="AJ14" s="19">
        <v>0.13</v>
      </c>
      <c r="AK14" s="19">
        <v>0.08</v>
      </c>
      <c r="AL14" s="20">
        <f t="shared" si="15"/>
        <v>0.21000000000000002</v>
      </c>
    </row>
    <row r="15" spans="1:38" ht="14.25">
      <c r="A15" s="2">
        <v>5</v>
      </c>
      <c r="B15" s="2">
        <v>2020</v>
      </c>
      <c r="C15" s="14">
        <f t="shared" si="8"/>
        <v>42019.623177</v>
      </c>
      <c r="D15" s="15">
        <f t="shared" si="9"/>
        <v>0.026026461069044705</v>
      </c>
      <c r="E15" s="14">
        <f t="shared" si="10"/>
        <v>31519.623177</v>
      </c>
      <c r="F15" s="15">
        <v>0.035</v>
      </c>
      <c r="G15" s="14">
        <f t="shared" si="11"/>
        <v>10500</v>
      </c>
      <c r="H15" s="15">
        <v>0</v>
      </c>
      <c r="I15" s="14">
        <f t="shared" si="12"/>
        <v>7770.262499999999</v>
      </c>
      <c r="J15" s="19">
        <v>0.25</v>
      </c>
      <c r="K15" s="14">
        <f t="shared" si="13"/>
        <v>9450</v>
      </c>
      <c r="L15" s="15">
        <v>0</v>
      </c>
      <c r="M15" s="14">
        <f t="shared" si="14"/>
        <v>3276</v>
      </c>
      <c r="N15" s="20">
        <v>1</v>
      </c>
      <c r="O15" s="16">
        <f t="shared" si="2"/>
        <v>20496.262499999997</v>
      </c>
      <c r="P15" s="15">
        <f t="shared" si="3"/>
        <v>0.18446681472312218</v>
      </c>
      <c r="Q15" s="14">
        <f t="shared" si="4"/>
        <v>26308.45252602</v>
      </c>
      <c r="R15" s="14">
        <f t="shared" si="5"/>
        <v>8195.102026020002</v>
      </c>
      <c r="S15" s="16">
        <f t="shared" si="6"/>
        <v>2271.5083124999996</v>
      </c>
      <c r="T15" s="16">
        <f t="shared" si="7"/>
        <v>445.49426249999993</v>
      </c>
      <c r="U15" s="41">
        <f t="shared" si="0"/>
        <v>661.9120867170001</v>
      </c>
      <c r="V15" s="16">
        <f t="shared" si="1"/>
        <v>567.353217186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H15" s="19">
        <v>0.22</v>
      </c>
      <c r="AI15" s="20">
        <v>0.12</v>
      </c>
      <c r="AJ15" s="19">
        <v>0.14</v>
      </c>
      <c r="AK15" s="19">
        <v>0.12</v>
      </c>
      <c r="AL15" s="20">
        <f t="shared" si="15"/>
        <v>0.26</v>
      </c>
    </row>
    <row r="16" spans="1:38" ht="14.25">
      <c r="A16" s="2">
        <v>6</v>
      </c>
      <c r="B16" s="2">
        <v>2021</v>
      </c>
      <c r="C16" s="14">
        <f t="shared" si="8"/>
        <v>42230.40810408</v>
      </c>
      <c r="D16" s="15">
        <f t="shared" si="9"/>
        <v>0.005016345010808562</v>
      </c>
      <c r="E16" s="14">
        <f t="shared" si="10"/>
        <v>32780.40810408</v>
      </c>
      <c r="F16" s="15">
        <v>0.04</v>
      </c>
      <c r="G16" s="14">
        <f t="shared" si="11"/>
        <v>9450</v>
      </c>
      <c r="H16" s="15">
        <v>-0.1</v>
      </c>
      <c r="I16" s="14">
        <f t="shared" si="12"/>
        <v>9324.314999999999</v>
      </c>
      <c r="J16" s="19">
        <v>0.2</v>
      </c>
      <c r="K16" s="14">
        <f t="shared" si="13"/>
        <v>8505</v>
      </c>
      <c r="L16" s="15">
        <v>-0.1</v>
      </c>
      <c r="M16" s="14">
        <f t="shared" si="14"/>
        <v>4914</v>
      </c>
      <c r="N16" s="20">
        <v>0.5</v>
      </c>
      <c r="O16" s="16">
        <f t="shared" si="2"/>
        <v>22743.315</v>
      </c>
      <c r="P16" s="15">
        <f t="shared" si="3"/>
        <v>0.10963230491412773</v>
      </c>
      <c r="Q16" s="14">
        <f t="shared" si="4"/>
        <v>28613.573269142395</v>
      </c>
      <c r="R16" s="14">
        <f t="shared" si="5"/>
        <v>9178.5142691424</v>
      </c>
      <c r="S16" s="16">
        <f t="shared" si="6"/>
        <v>2353.6907099999994</v>
      </c>
      <c r="T16" s="16">
        <f t="shared" si="7"/>
        <v>561.5681399999999</v>
      </c>
      <c r="U16" s="41">
        <f t="shared" si="0"/>
        <v>737.5591823417999</v>
      </c>
      <c r="V16" s="16">
        <f t="shared" si="1"/>
        <v>639.21795802956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H16" s="19">
        <v>0.24</v>
      </c>
      <c r="AI16" s="20">
        <v>0.12</v>
      </c>
      <c r="AJ16" s="19">
        <v>0.15</v>
      </c>
      <c r="AK16" s="19">
        <v>0.13</v>
      </c>
      <c r="AL16" s="20">
        <f t="shared" si="15"/>
        <v>0.28</v>
      </c>
    </row>
    <row r="17" spans="1:38" ht="14.25">
      <c r="A17" s="2">
        <v>7</v>
      </c>
      <c r="B17" s="2">
        <v>2022</v>
      </c>
      <c r="C17" s="14">
        <f t="shared" si="8"/>
        <v>42451.928509284</v>
      </c>
      <c r="D17" s="15">
        <f t="shared" si="9"/>
        <v>0.005245518931714923</v>
      </c>
      <c r="E17" s="14">
        <f t="shared" si="10"/>
        <v>34419.428509284</v>
      </c>
      <c r="F17" s="15">
        <v>0.05</v>
      </c>
      <c r="G17" s="14">
        <f t="shared" si="11"/>
        <v>8032.5</v>
      </c>
      <c r="H17" s="15">
        <v>-0.15</v>
      </c>
      <c r="I17" s="14">
        <f t="shared" si="12"/>
        <v>10722.962249999997</v>
      </c>
      <c r="J17" s="19">
        <v>0.15</v>
      </c>
      <c r="K17" s="14">
        <f t="shared" si="13"/>
        <v>7229.25</v>
      </c>
      <c r="L17" s="15">
        <v>-0.15</v>
      </c>
      <c r="M17" s="14">
        <f t="shared" si="14"/>
        <v>7371</v>
      </c>
      <c r="N17" s="20">
        <v>0.5</v>
      </c>
      <c r="O17" s="16">
        <f t="shared" si="2"/>
        <v>25323.212249999997</v>
      </c>
      <c r="P17" s="15">
        <f t="shared" si="3"/>
        <v>0.11343540948186306</v>
      </c>
      <c r="Q17" s="14">
        <f t="shared" si="4"/>
        <v>31999.337658063712</v>
      </c>
      <c r="R17" s="14">
        <f t="shared" si="5"/>
        <v>11358.41140806372</v>
      </c>
      <c r="S17" s="16">
        <f t="shared" si="6"/>
        <v>2389.9641097499994</v>
      </c>
      <c r="T17" s="16">
        <f t="shared" si="7"/>
        <v>706.1748277499998</v>
      </c>
      <c r="U17" s="41">
        <f t="shared" si="0"/>
        <v>980.9537125145939</v>
      </c>
      <c r="V17" s="16">
        <f t="shared" si="1"/>
        <v>722.807998694964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H17" s="19">
        <v>0.26</v>
      </c>
      <c r="AI17" s="20">
        <v>0.12</v>
      </c>
      <c r="AJ17" s="19">
        <v>0.19</v>
      </c>
      <c r="AK17" s="19">
        <v>0.14</v>
      </c>
      <c r="AL17" s="20">
        <f t="shared" si="15"/>
        <v>0.33</v>
      </c>
    </row>
    <row r="18" spans="1:38" ht="14.25">
      <c r="A18" s="2">
        <v>8</v>
      </c>
      <c r="B18" s="2">
        <v>2023</v>
      </c>
      <c r="C18" s="14">
        <f t="shared" si="8"/>
        <v>43312.21921984104</v>
      </c>
      <c r="D18" s="15">
        <f t="shared" si="9"/>
        <v>0.020265056047310086</v>
      </c>
      <c r="E18" s="14">
        <f t="shared" si="10"/>
        <v>36484.59421984104</v>
      </c>
      <c r="F18" s="15">
        <v>0.06</v>
      </c>
      <c r="G18" s="14">
        <f t="shared" si="11"/>
        <v>6827.625</v>
      </c>
      <c r="H18" s="15">
        <v>-0.15</v>
      </c>
      <c r="I18" s="14">
        <f t="shared" si="12"/>
        <v>12331.406587499996</v>
      </c>
      <c r="J18" s="19">
        <v>0.15</v>
      </c>
      <c r="K18" s="14">
        <f t="shared" si="13"/>
        <v>6144.8625</v>
      </c>
      <c r="L18" s="15">
        <v>-0.15</v>
      </c>
      <c r="M18" s="14">
        <f t="shared" si="14"/>
        <v>11056.5</v>
      </c>
      <c r="N18" s="20">
        <v>0.5</v>
      </c>
      <c r="O18" s="16">
        <f t="shared" si="2"/>
        <v>29532.769087499997</v>
      </c>
      <c r="P18" s="15">
        <f t="shared" si="3"/>
        <v>0.16623313013932506</v>
      </c>
      <c r="Q18" s="14">
        <f t="shared" si="4"/>
        <v>33731.130853452305</v>
      </c>
      <c r="R18" s="14">
        <f t="shared" si="5"/>
        <v>10945.378265952311</v>
      </c>
      <c r="S18" s="16">
        <f t="shared" si="6"/>
        <v>2501.1443614499995</v>
      </c>
      <c r="T18" s="16">
        <f t="shared" si="7"/>
        <v>916.7185266749998</v>
      </c>
      <c r="U18" s="41">
        <f t="shared" si="0"/>
        <v>875.6302612761849</v>
      </c>
      <c r="V18" s="16">
        <f t="shared" si="1"/>
        <v>766.1764786166618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H18" s="19">
        <v>0.28</v>
      </c>
      <c r="AI18" s="20">
        <v>0.12</v>
      </c>
      <c r="AJ18" s="19">
        <v>0.16</v>
      </c>
      <c r="AK18" s="19">
        <v>0.14</v>
      </c>
      <c r="AL18" s="20">
        <f t="shared" si="15"/>
        <v>0.30000000000000004</v>
      </c>
    </row>
    <row r="19" spans="1:38" ht="14.25">
      <c r="A19" s="2">
        <v>9</v>
      </c>
      <c r="B19" s="2">
        <v>2024</v>
      </c>
      <c r="C19" s="14">
        <f t="shared" si="8"/>
        <v>44841.997065229916</v>
      </c>
      <c r="D19" s="15">
        <f t="shared" si="9"/>
        <v>0.03531977517993569</v>
      </c>
      <c r="E19" s="14">
        <f t="shared" si="10"/>
        <v>39038.51581522992</v>
      </c>
      <c r="F19" s="15">
        <v>0.07</v>
      </c>
      <c r="G19" s="14">
        <f t="shared" si="11"/>
        <v>5803.48125</v>
      </c>
      <c r="H19" s="15">
        <v>-0.15</v>
      </c>
      <c r="I19" s="14">
        <f t="shared" si="12"/>
        <v>13564.547246249997</v>
      </c>
      <c r="J19" s="19">
        <v>0.1</v>
      </c>
      <c r="K19" s="14">
        <f t="shared" si="13"/>
        <v>5223.133125</v>
      </c>
      <c r="L19" s="15">
        <v>-0.15</v>
      </c>
      <c r="M19" s="14">
        <f t="shared" si="14"/>
        <v>16584.75</v>
      </c>
      <c r="N19" s="20">
        <v>0.5</v>
      </c>
      <c r="O19" s="16">
        <f t="shared" si="2"/>
        <v>35372.43037125</v>
      </c>
      <c r="P19" s="15">
        <f t="shared" si="3"/>
        <v>0.19773497251301395</v>
      </c>
      <c r="Q19" s="14">
        <f t="shared" si="4"/>
        <v>37646.28994897127</v>
      </c>
      <c r="R19" s="14">
        <f t="shared" si="5"/>
        <v>12101.939902721277</v>
      </c>
      <c r="S19" s="16">
        <f t="shared" si="6"/>
        <v>2636.1506583562496</v>
      </c>
      <c r="T19" s="16">
        <f t="shared" si="7"/>
        <v>1195.5018485812498</v>
      </c>
      <c r="U19" s="41">
        <f t="shared" si="0"/>
        <v>995.482153288363</v>
      </c>
      <c r="V19" s="16">
        <f t="shared" si="1"/>
        <v>819.8088321198284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H19" s="19">
        <v>0.3</v>
      </c>
      <c r="AI19" s="20">
        <v>0.12</v>
      </c>
      <c r="AJ19" s="19">
        <v>0.17</v>
      </c>
      <c r="AK19" s="19">
        <v>0.14</v>
      </c>
      <c r="AL19" s="20">
        <f t="shared" si="15"/>
        <v>0.31000000000000005</v>
      </c>
    </row>
    <row r="20" spans="1:38" ht="14.25">
      <c r="A20" s="2">
        <v>10</v>
      </c>
      <c r="B20" s="2">
        <v>2025</v>
      </c>
      <c r="C20" s="14">
        <f t="shared" si="8"/>
        <v>46704.170984796016</v>
      </c>
      <c r="D20" s="15">
        <f t="shared" si="9"/>
        <v>0.04152745286650073</v>
      </c>
      <c r="E20" s="14">
        <f t="shared" si="10"/>
        <v>41771.21192229602</v>
      </c>
      <c r="F20" s="15">
        <v>0.07</v>
      </c>
      <c r="G20" s="14">
        <f t="shared" si="11"/>
        <v>4932.9590625</v>
      </c>
      <c r="H20" s="15">
        <v>-0.15</v>
      </c>
      <c r="I20" s="14">
        <f t="shared" si="12"/>
        <v>14921.001970874997</v>
      </c>
      <c r="J20" s="19">
        <v>0.1</v>
      </c>
      <c r="K20" s="14">
        <f t="shared" si="13"/>
        <v>4439.66315625</v>
      </c>
      <c r="L20" s="15">
        <v>-0.15</v>
      </c>
      <c r="M20" s="14">
        <f t="shared" si="14"/>
        <v>21560.175</v>
      </c>
      <c r="N20" s="20">
        <v>0.3</v>
      </c>
      <c r="O20" s="16">
        <f t="shared" si="2"/>
        <v>40920.840127125</v>
      </c>
      <c r="P20" s="15">
        <f t="shared" si="3"/>
        <v>0.1568568995017271</v>
      </c>
      <c r="Q20" s="14">
        <f t="shared" si="4"/>
        <v>41777.62131600971</v>
      </c>
      <c r="R20" s="14">
        <f t="shared" si="5"/>
        <v>13366.787815134725</v>
      </c>
      <c r="S20" s="16">
        <f t="shared" si="6"/>
        <v>2767.719092654249</v>
      </c>
      <c r="T20" s="16">
        <f t="shared" si="7"/>
        <v>1493.9059324769999</v>
      </c>
      <c r="U20" s="41">
        <f t="shared" si="0"/>
        <v>1127.8227219019923</v>
      </c>
      <c r="V20" s="16">
        <f t="shared" si="1"/>
        <v>877.1954503682165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H20" s="19">
        <v>0.32</v>
      </c>
      <c r="AI20" s="20">
        <v>0.12</v>
      </c>
      <c r="AJ20" s="19">
        <v>0.18</v>
      </c>
      <c r="AK20" s="19">
        <v>0.14</v>
      </c>
      <c r="AL20" s="20">
        <f t="shared" si="15"/>
        <v>0.32</v>
      </c>
    </row>
    <row r="21" spans="1:38" ht="14.25">
      <c r="A21" s="2">
        <v>11</v>
      </c>
      <c r="B21" s="2">
        <v>2026</v>
      </c>
      <c r="C21" s="14">
        <f t="shared" si="8"/>
        <v>49628.15581935674</v>
      </c>
      <c r="D21" s="15">
        <f t="shared" si="9"/>
        <v>0.06260650329309116</v>
      </c>
      <c r="E21" s="14">
        <f t="shared" si="10"/>
        <v>44695.19675685674</v>
      </c>
      <c r="F21" s="15">
        <v>0.07</v>
      </c>
      <c r="G21" s="14">
        <f t="shared" si="11"/>
        <v>4932.9590625</v>
      </c>
      <c r="H21" s="15">
        <v>0</v>
      </c>
      <c r="I21" s="14">
        <f t="shared" si="12"/>
        <v>15667.052069418747</v>
      </c>
      <c r="J21" s="19">
        <v>0.05</v>
      </c>
      <c r="K21" s="14">
        <f t="shared" si="13"/>
        <v>4439.66315625</v>
      </c>
      <c r="L21" s="15">
        <v>0</v>
      </c>
      <c r="M21" s="14">
        <f t="shared" si="14"/>
        <v>28028.2275</v>
      </c>
      <c r="N21" s="20">
        <v>0.3</v>
      </c>
      <c r="O21" s="16">
        <f t="shared" si="2"/>
        <v>48134.94272566875</v>
      </c>
      <c r="P21" s="15">
        <f t="shared" si="3"/>
        <v>0.17629409797385306</v>
      </c>
      <c r="Q21" s="14">
        <f t="shared" si="4"/>
        <v>46884.05194199397</v>
      </c>
      <c r="R21" s="14">
        <f t="shared" si="5"/>
        <v>14749.414929762725</v>
      </c>
      <c r="S21" s="16">
        <f t="shared" si="6"/>
        <v>2962.8525535130807</v>
      </c>
      <c r="T21" s="16">
        <f t="shared" si="7"/>
        <v>1857.342998321606</v>
      </c>
      <c r="U21" s="41">
        <f t="shared" si="0"/>
        <v>1273.813107570417</v>
      </c>
      <c r="V21" s="16">
        <f t="shared" si="1"/>
        <v>938.5991318939916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H21" s="19">
        <v>0.34</v>
      </c>
      <c r="AI21" s="20">
        <v>0.13</v>
      </c>
      <c r="AJ21" s="19">
        <v>0.19</v>
      </c>
      <c r="AK21" s="19">
        <v>0.14</v>
      </c>
      <c r="AL21" s="20">
        <f t="shared" si="15"/>
        <v>0.33</v>
      </c>
    </row>
    <row r="22" spans="1:38" ht="14.25">
      <c r="A22" s="2">
        <v>12</v>
      </c>
      <c r="B22" s="2">
        <v>2027</v>
      </c>
      <c r="C22" s="14">
        <f t="shared" si="8"/>
        <v>52309.86762476814</v>
      </c>
      <c r="D22" s="15">
        <f t="shared" si="9"/>
        <v>0.054036096267059776</v>
      </c>
      <c r="E22" s="14">
        <f t="shared" si="10"/>
        <v>47376.908562268145</v>
      </c>
      <c r="F22" s="15">
        <v>0.06</v>
      </c>
      <c r="G22" s="14">
        <f t="shared" si="11"/>
        <v>4932.9590625</v>
      </c>
      <c r="H22" s="15">
        <v>0</v>
      </c>
      <c r="I22" s="14">
        <f t="shared" si="12"/>
        <v>16450.404672889686</v>
      </c>
      <c r="J22" s="19">
        <v>0.05</v>
      </c>
      <c r="K22" s="14">
        <f t="shared" si="13"/>
        <v>4439.66315625</v>
      </c>
      <c r="L22" s="15">
        <v>0</v>
      </c>
      <c r="M22" s="14">
        <f t="shared" si="14"/>
        <v>36436.69575</v>
      </c>
      <c r="N22" s="20">
        <v>0.3</v>
      </c>
      <c r="O22" s="16">
        <f t="shared" si="2"/>
        <v>57326.76357913969</v>
      </c>
      <c r="P22" s="15">
        <f t="shared" si="3"/>
        <v>0.1909594222612267</v>
      </c>
      <c r="Q22" s="14">
        <f t="shared" si="4"/>
        <v>52968.92537268586</v>
      </c>
      <c r="R22" s="14">
        <f t="shared" si="5"/>
        <v>16108.148911171169</v>
      </c>
      <c r="S22" s="16">
        <f t="shared" si="6"/>
        <v>3201.33223335366</v>
      </c>
      <c r="T22" s="16">
        <f t="shared" si="7"/>
        <v>2327.784235873543</v>
      </c>
      <c r="U22" s="41">
        <f t="shared" si="0"/>
        <v>1421.3072568680443</v>
      </c>
      <c r="V22" s="16">
        <f t="shared" si="1"/>
        <v>994.9150798076311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H22" s="19">
        <v>0.36</v>
      </c>
      <c r="AI22" s="20">
        <v>0.14</v>
      </c>
      <c r="AJ22" s="19">
        <v>0.2</v>
      </c>
      <c r="AK22" s="19">
        <v>0.14</v>
      </c>
      <c r="AL22" s="20">
        <f t="shared" si="15"/>
        <v>0.34</v>
      </c>
    </row>
    <row r="23" spans="1:38" ht="14.25">
      <c r="A23" s="2">
        <v>13</v>
      </c>
      <c r="B23" s="2">
        <v>2028</v>
      </c>
      <c r="C23" s="14">
        <f t="shared" si="8"/>
        <v>54678.713052881554</v>
      </c>
      <c r="D23" s="15">
        <f t="shared" si="9"/>
        <v>0.04528486757232375</v>
      </c>
      <c r="E23" s="14">
        <f t="shared" si="10"/>
        <v>49745.753990381556</v>
      </c>
      <c r="F23" s="15">
        <v>0.05</v>
      </c>
      <c r="G23" s="14">
        <f t="shared" si="11"/>
        <v>4932.9590625</v>
      </c>
      <c r="H23" s="15">
        <v>0</v>
      </c>
      <c r="I23" s="14">
        <f t="shared" si="12"/>
        <v>17272.924906534172</v>
      </c>
      <c r="J23" s="19">
        <v>0.05</v>
      </c>
      <c r="K23" s="14">
        <f t="shared" si="13"/>
        <v>4439.66315625</v>
      </c>
      <c r="L23" s="15">
        <v>0</v>
      </c>
      <c r="M23" s="14">
        <f t="shared" si="14"/>
        <v>47367.704475</v>
      </c>
      <c r="N23" s="20">
        <v>0.3</v>
      </c>
      <c r="O23" s="16">
        <f t="shared" si="2"/>
        <v>69080.29253778417</v>
      </c>
      <c r="P23" s="15">
        <f t="shared" si="3"/>
        <v>0.20502690584335395</v>
      </c>
      <c r="Q23" s="14">
        <f t="shared" si="4"/>
        <v>60311.821224305204</v>
      </c>
      <c r="R23" s="14">
        <f t="shared" si="5"/>
        <v>17411.013896633547</v>
      </c>
      <c r="S23" s="16">
        <f t="shared" si="6"/>
        <v>3493.998023582052</v>
      </c>
      <c r="T23" s="16">
        <f t="shared" si="7"/>
        <v>2941.1230755686975</v>
      </c>
      <c r="U23" s="41">
        <f t="shared" si="0"/>
        <v>1566.9912506970188</v>
      </c>
      <c r="V23" s="16">
        <f t="shared" si="1"/>
        <v>1044.6608337980128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H23" s="19">
        <v>0.38</v>
      </c>
      <c r="AI23" s="20">
        <v>0.15</v>
      </c>
      <c r="AJ23" s="19">
        <v>0.21</v>
      </c>
      <c r="AK23" s="19">
        <v>0.14</v>
      </c>
      <c r="AL23" s="20">
        <f t="shared" si="15"/>
        <v>0.35</v>
      </c>
    </row>
    <row r="24" spans="1:38" ht="14.25">
      <c r="A24" s="2">
        <v>14</v>
      </c>
      <c r="B24" s="2">
        <v>2029</v>
      </c>
      <c r="C24" s="14">
        <f t="shared" si="8"/>
        <v>57166.000752400636</v>
      </c>
      <c r="D24" s="15">
        <f t="shared" si="9"/>
        <v>0.045489141215038206</v>
      </c>
      <c r="E24" s="14">
        <f t="shared" si="10"/>
        <v>52233.04168990064</v>
      </c>
      <c r="F24" s="15">
        <v>0.05</v>
      </c>
      <c r="G24" s="14">
        <f t="shared" si="11"/>
        <v>4932.9590625</v>
      </c>
      <c r="H24" s="15">
        <v>0</v>
      </c>
      <c r="I24" s="14">
        <f t="shared" si="12"/>
        <v>18136.57115186088</v>
      </c>
      <c r="J24" s="19">
        <v>0.05</v>
      </c>
      <c r="K24" s="14">
        <f t="shared" si="13"/>
        <v>4439.66315625</v>
      </c>
      <c r="L24" s="15">
        <v>0</v>
      </c>
      <c r="M24" s="14">
        <f t="shared" si="14"/>
        <v>56841.24537</v>
      </c>
      <c r="N24" s="20">
        <v>0.2</v>
      </c>
      <c r="O24" s="16">
        <f t="shared" si="2"/>
        <v>79417.47967811087</v>
      </c>
      <c r="P24" s="15">
        <f t="shared" si="3"/>
        <v>0.14964017609903243</v>
      </c>
      <c r="Q24" s="14">
        <f t="shared" si="4"/>
        <v>66540.6247532961</v>
      </c>
      <c r="R24" s="14">
        <f t="shared" si="5"/>
        <v>18281.564591465223</v>
      </c>
      <c r="S24" s="16">
        <f t="shared" si="6"/>
        <v>3779.18600348927</v>
      </c>
      <c r="T24" s="16">
        <f t="shared" si="7"/>
        <v>3459.673020785361</v>
      </c>
      <c r="U24" s="41">
        <f t="shared" si="0"/>
        <v>1645.3408132318698</v>
      </c>
      <c r="V24" s="16">
        <f t="shared" si="1"/>
        <v>1096.8938754879134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H24" s="19">
        <v>0.39</v>
      </c>
      <c r="AI24" s="20">
        <v>0.16</v>
      </c>
      <c r="AJ24" s="19">
        <v>0.21</v>
      </c>
      <c r="AK24" s="19">
        <v>0.14</v>
      </c>
      <c r="AL24" s="20">
        <f t="shared" si="15"/>
        <v>0.35</v>
      </c>
    </row>
    <row r="25" spans="1:38" ht="14.25">
      <c r="A25" s="2">
        <v>15</v>
      </c>
      <c r="B25" s="2">
        <v>2030</v>
      </c>
      <c r="C25" s="14">
        <f t="shared" si="8"/>
        <v>59777.65283689567</v>
      </c>
      <c r="D25" s="15">
        <f t="shared" si="9"/>
        <v>0.045685408286766704</v>
      </c>
      <c r="E25" s="14">
        <f t="shared" si="10"/>
        <v>54844.69377439567</v>
      </c>
      <c r="F25" s="15">
        <v>0.05</v>
      </c>
      <c r="G25" s="14">
        <f t="shared" si="11"/>
        <v>4932.9590625</v>
      </c>
      <c r="H25" s="15">
        <v>0</v>
      </c>
      <c r="I25" s="14">
        <f t="shared" si="12"/>
        <v>19043.399709453926</v>
      </c>
      <c r="J25" s="19">
        <v>0.05</v>
      </c>
      <c r="K25" s="14">
        <f t="shared" si="13"/>
        <v>4439.66315625</v>
      </c>
      <c r="L25" s="15">
        <v>0</v>
      </c>
      <c r="M25" s="14">
        <f t="shared" si="14"/>
        <v>68209.494444</v>
      </c>
      <c r="N25" s="20">
        <v>0.2</v>
      </c>
      <c r="O25" s="16">
        <f>I25+K25+M25</f>
        <v>91692.55730970393</v>
      </c>
      <c r="P25" s="15">
        <f t="shared" si="3"/>
        <v>0.15456392826044724</v>
      </c>
      <c r="Q25" s="14">
        <f t="shared" si="4"/>
        <v>73803.4922187949</v>
      </c>
      <c r="R25" s="14">
        <f t="shared" si="5"/>
        <v>19195.642821038484</v>
      </c>
      <c r="S25" s="16">
        <f t="shared" si="6"/>
        <v>4108.300386791978</v>
      </c>
      <c r="T25" s="16">
        <f t="shared" si="7"/>
        <v>4082.8770228714848</v>
      </c>
      <c r="U25" s="41">
        <f t="shared" si="0"/>
        <v>1727.6078538934632</v>
      </c>
      <c r="V25" s="16">
        <f t="shared" si="1"/>
        <v>1151.738569262309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H25" s="20">
        <v>0.4</v>
      </c>
      <c r="AI25" s="20">
        <v>0.17</v>
      </c>
      <c r="AJ25" s="20">
        <f>AL25-AK25</f>
        <v>0.20999999999999996</v>
      </c>
      <c r="AK25" s="19">
        <v>0.14</v>
      </c>
      <c r="AL25" s="20">
        <v>0.35</v>
      </c>
    </row>
    <row r="26" spans="9:21" ht="14.25">
      <c r="I26" s="26">
        <f>I25/E25</f>
        <v>0.3472241049934418</v>
      </c>
      <c r="K26" s="26">
        <f>K25/G25</f>
        <v>0.8999999999999999</v>
      </c>
      <c r="L26" s="28"/>
      <c r="O26" s="44">
        <f>O25/'мировая промышленность'!H25/1000</f>
        <v>0.02608238691318531</v>
      </c>
      <c r="U26" s="45"/>
    </row>
    <row r="27" spans="9:18" ht="14.25">
      <c r="I27" s="2" t="s">
        <v>76</v>
      </c>
      <c r="J27" t="s">
        <v>78</v>
      </c>
      <c r="K27" s="2" t="s">
        <v>77</v>
      </c>
      <c r="L27" s="34" t="s">
        <v>78</v>
      </c>
      <c r="O27" s="2" t="s">
        <v>82</v>
      </c>
      <c r="P27" s="34" t="s">
        <v>78</v>
      </c>
      <c r="Q27" s="34"/>
      <c r="R27" s="34"/>
    </row>
    <row r="28" spans="3:35" ht="14.25">
      <c r="C28" t="s">
        <v>61</v>
      </c>
      <c r="AH28" s="33"/>
      <c r="AI28" s="33"/>
    </row>
    <row r="29" spans="1:19" ht="31.5" customHeight="1">
      <c r="A29" s="46"/>
      <c r="B29" s="47"/>
      <c r="C29" s="57" t="s">
        <v>62</v>
      </c>
      <c r="D29" s="57"/>
      <c r="E29" s="57"/>
      <c r="F29" s="54" t="s">
        <v>33</v>
      </c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6"/>
    </row>
    <row r="30" spans="1:19" ht="47.25" customHeight="1">
      <c r="A30" s="46"/>
      <c r="B30" s="48"/>
      <c r="C30" s="57" t="s">
        <v>63</v>
      </c>
      <c r="D30" s="57"/>
      <c r="E30" s="57"/>
      <c r="F30" s="54" t="s">
        <v>34</v>
      </c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6"/>
    </row>
    <row r="31" spans="2:19" ht="30" customHeight="1">
      <c r="B31" s="48"/>
      <c r="C31" s="57" t="s">
        <v>188</v>
      </c>
      <c r="D31" s="57"/>
      <c r="E31" s="57"/>
      <c r="F31" s="54" t="s">
        <v>64</v>
      </c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6"/>
    </row>
    <row r="33" spans="3:19" ht="63.75" customHeight="1">
      <c r="C33" s="64" t="s">
        <v>189</v>
      </c>
      <c r="D33" s="64"/>
      <c r="E33" s="64"/>
      <c r="F33" s="65" t="s">
        <v>240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</row>
    <row r="34" spans="3:19" ht="45.75" customHeight="1">
      <c r="C34" s="64" t="s">
        <v>190</v>
      </c>
      <c r="D34" s="64"/>
      <c r="E34" s="64"/>
      <c r="F34" s="65" t="s">
        <v>191</v>
      </c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</row>
    <row r="35" spans="3:19" ht="51" customHeight="1">
      <c r="C35" s="64" t="s">
        <v>192</v>
      </c>
      <c r="D35" s="64"/>
      <c r="E35" s="64"/>
      <c r="F35" s="65" t="s">
        <v>214</v>
      </c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</row>
  </sheetData>
  <sheetProtection/>
  <mergeCells count="31">
    <mergeCell ref="F34:S34"/>
    <mergeCell ref="C8:H8"/>
    <mergeCell ref="S8:V8"/>
    <mergeCell ref="W8:X8"/>
    <mergeCell ref="Y8:Z8"/>
    <mergeCell ref="AA8:AB8"/>
    <mergeCell ref="C35:E35"/>
    <mergeCell ref="F35:S35"/>
    <mergeCell ref="C33:E33"/>
    <mergeCell ref="F33:S33"/>
    <mergeCell ref="C34:E34"/>
    <mergeCell ref="AH8:AI8"/>
    <mergeCell ref="AJ8:AL8"/>
    <mergeCell ref="F29:S29"/>
    <mergeCell ref="C29:E29"/>
    <mergeCell ref="AC8:AD8"/>
    <mergeCell ref="AE8:AF8"/>
    <mergeCell ref="C9:D9"/>
    <mergeCell ref="E9:F9"/>
    <mergeCell ref="G9:H9"/>
    <mergeCell ref="I9:J9"/>
    <mergeCell ref="F31:S31"/>
    <mergeCell ref="C31:E31"/>
    <mergeCell ref="K9:L9"/>
    <mergeCell ref="I8:P8"/>
    <mergeCell ref="O9:P9"/>
    <mergeCell ref="F30:S30"/>
    <mergeCell ref="C30:E30"/>
    <mergeCell ref="R8:R9"/>
    <mergeCell ref="Q8:Q9"/>
    <mergeCell ref="M9:N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30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43.421875" style="0" customWidth="1"/>
    <col min="2" max="2" width="27.28125" style="0" customWidth="1"/>
    <col min="3" max="3" width="18.8515625" style="0" customWidth="1"/>
    <col min="4" max="5" width="18.8515625" style="13" customWidth="1"/>
    <col min="6" max="6" width="17.28125" style="0" customWidth="1"/>
    <col min="7" max="7" width="18.57421875" style="0" customWidth="1"/>
    <col min="8" max="9" width="18.57421875" style="13" customWidth="1"/>
    <col min="10" max="10" width="17.28125" style="0" customWidth="1"/>
    <col min="11" max="11" width="13.7109375" style="0" customWidth="1"/>
    <col min="12" max="12" width="14.57421875" style="0" customWidth="1"/>
    <col min="13" max="13" width="17.7109375" style="0" customWidth="1"/>
  </cols>
  <sheetData>
    <row r="3" spans="1:13" ht="14.25">
      <c r="A3" s="2"/>
      <c r="B3" s="2"/>
      <c r="C3" s="2"/>
      <c r="D3" s="66" t="s">
        <v>31</v>
      </c>
      <c r="E3" s="66"/>
      <c r="F3" s="66"/>
      <c r="G3" s="66"/>
      <c r="H3" s="66" t="s">
        <v>32</v>
      </c>
      <c r="I3" s="66"/>
      <c r="J3" s="66"/>
      <c r="K3" s="66"/>
      <c r="L3" s="2"/>
      <c r="M3" s="2"/>
    </row>
    <row r="4" spans="1:13" s="8" customFormat="1" ht="72">
      <c r="A4" s="17"/>
      <c r="B4" s="17" t="s">
        <v>30</v>
      </c>
      <c r="C4" s="17" t="s">
        <v>35</v>
      </c>
      <c r="D4" s="18"/>
      <c r="E4" s="17" t="s">
        <v>36</v>
      </c>
      <c r="F4" s="17"/>
      <c r="G4" s="17" t="s">
        <v>37</v>
      </c>
      <c r="H4" s="18"/>
      <c r="I4" s="17" t="s">
        <v>36</v>
      </c>
      <c r="J4" s="17"/>
      <c r="K4" s="17" t="s">
        <v>37</v>
      </c>
      <c r="L4" s="17" t="s">
        <v>38</v>
      </c>
      <c r="M4" s="17" t="s">
        <v>39</v>
      </c>
    </row>
    <row r="5" spans="1:13" ht="14.25">
      <c r="A5" s="2" t="s">
        <v>23</v>
      </c>
      <c r="B5" s="14">
        <v>17000</v>
      </c>
      <c r="C5" s="14">
        <f>B5*0.7</f>
        <v>11900</v>
      </c>
      <c r="D5" s="19">
        <f aca="true" t="shared" si="0" ref="D5:D14">C5*E5</f>
        <v>595</v>
      </c>
      <c r="E5" s="19">
        <v>0.05</v>
      </c>
      <c r="F5" s="19">
        <f aca="true" t="shared" si="1" ref="F5:F14">G5*C5</f>
        <v>1785</v>
      </c>
      <c r="G5" s="20">
        <v>0.15</v>
      </c>
      <c r="H5" s="19">
        <f aca="true" t="shared" si="2" ref="H5:H14">C5*I5</f>
        <v>1785</v>
      </c>
      <c r="I5" s="19">
        <v>0.15</v>
      </c>
      <c r="J5" s="19">
        <f aca="true" t="shared" si="3" ref="J5:J14">K5*C5</f>
        <v>5950</v>
      </c>
      <c r="K5" s="20">
        <v>0.5</v>
      </c>
      <c r="L5" s="2"/>
      <c r="M5" s="21" t="s">
        <v>40</v>
      </c>
    </row>
    <row r="6" spans="1:13" ht="14.25">
      <c r="A6" s="22" t="s">
        <v>41</v>
      </c>
      <c r="B6" s="14">
        <v>5000</v>
      </c>
      <c r="C6" s="14">
        <f aca="true" t="shared" si="4" ref="C6:C13">B6*0.7</f>
        <v>3500</v>
      </c>
      <c r="D6" s="19">
        <f t="shared" si="0"/>
        <v>525</v>
      </c>
      <c r="E6" s="19">
        <v>0.15</v>
      </c>
      <c r="F6" s="19">
        <f t="shared" si="1"/>
        <v>1750</v>
      </c>
      <c r="G6" s="20">
        <v>0.5</v>
      </c>
      <c r="H6" s="19">
        <f t="shared" si="2"/>
        <v>175</v>
      </c>
      <c r="I6" s="19">
        <v>0.05</v>
      </c>
      <c r="J6" s="19">
        <f t="shared" si="3"/>
        <v>875</v>
      </c>
      <c r="K6" s="20">
        <f>(1-G6)/2</f>
        <v>0.25</v>
      </c>
      <c r="L6" s="2"/>
      <c r="M6" s="2" t="s">
        <v>42</v>
      </c>
    </row>
    <row r="7" spans="1:13" ht="14.25">
      <c r="A7" s="2" t="s">
        <v>43</v>
      </c>
      <c r="B7" s="14">
        <v>8000</v>
      </c>
      <c r="C7" s="14">
        <f t="shared" si="4"/>
        <v>5600</v>
      </c>
      <c r="D7" s="19">
        <f t="shared" si="0"/>
        <v>840</v>
      </c>
      <c r="E7" s="19">
        <v>0.15</v>
      </c>
      <c r="F7" s="19">
        <f t="shared" si="1"/>
        <v>2800</v>
      </c>
      <c r="G7" s="20">
        <v>0.5</v>
      </c>
      <c r="H7" s="19">
        <f t="shared" si="2"/>
        <v>280</v>
      </c>
      <c r="I7" s="19">
        <v>0.05</v>
      </c>
      <c r="J7" s="19">
        <f t="shared" si="3"/>
        <v>1400</v>
      </c>
      <c r="K7" s="20">
        <f aca="true" t="shared" si="5" ref="K7:K14">(1-G7)/2</f>
        <v>0.25</v>
      </c>
      <c r="L7" s="2"/>
      <c r="M7" s="2" t="s">
        <v>42</v>
      </c>
    </row>
    <row r="8" spans="1:13" ht="14.25">
      <c r="A8" s="2" t="s">
        <v>44</v>
      </c>
      <c r="B8" s="14">
        <v>1000</v>
      </c>
      <c r="C8" s="14">
        <f t="shared" si="4"/>
        <v>700</v>
      </c>
      <c r="D8" s="19">
        <f t="shared" si="0"/>
        <v>105</v>
      </c>
      <c r="E8" s="19">
        <v>0.15</v>
      </c>
      <c r="F8" s="19">
        <f t="shared" si="1"/>
        <v>350</v>
      </c>
      <c r="G8" s="20">
        <v>0.5</v>
      </c>
      <c r="H8" s="19">
        <f t="shared" si="2"/>
        <v>35</v>
      </c>
      <c r="I8" s="19">
        <v>0.05</v>
      </c>
      <c r="J8" s="19">
        <f t="shared" si="3"/>
        <v>175</v>
      </c>
      <c r="K8" s="20">
        <f t="shared" si="5"/>
        <v>0.25</v>
      </c>
      <c r="L8" s="2"/>
      <c r="M8" s="2" t="s">
        <v>42</v>
      </c>
    </row>
    <row r="9" spans="1:13" ht="14.25">
      <c r="A9" s="2" t="s">
        <v>24</v>
      </c>
      <c r="B9" s="14">
        <v>5000</v>
      </c>
      <c r="C9" s="14">
        <f t="shared" si="4"/>
        <v>3500</v>
      </c>
      <c r="D9" s="19">
        <f t="shared" si="0"/>
        <v>700</v>
      </c>
      <c r="E9" s="19">
        <v>0.2</v>
      </c>
      <c r="F9" s="19">
        <f t="shared" si="1"/>
        <v>1750</v>
      </c>
      <c r="G9" s="20">
        <v>0.5</v>
      </c>
      <c r="H9" s="19">
        <f t="shared" si="2"/>
        <v>175</v>
      </c>
      <c r="I9" s="19">
        <v>0.05</v>
      </c>
      <c r="J9" s="19">
        <f t="shared" si="3"/>
        <v>875</v>
      </c>
      <c r="K9" s="20">
        <f t="shared" si="5"/>
        <v>0.25</v>
      </c>
      <c r="L9" s="2"/>
      <c r="M9" s="2" t="s">
        <v>45</v>
      </c>
    </row>
    <row r="10" spans="1:13" ht="14.25">
      <c r="A10" s="2" t="s">
        <v>25</v>
      </c>
      <c r="B10" s="14">
        <v>2000</v>
      </c>
      <c r="C10" s="14">
        <f t="shared" si="4"/>
        <v>1400</v>
      </c>
      <c r="D10" s="19">
        <f t="shared" si="0"/>
        <v>700</v>
      </c>
      <c r="E10" s="19">
        <v>0.5</v>
      </c>
      <c r="F10" s="19">
        <f t="shared" si="1"/>
        <v>840</v>
      </c>
      <c r="G10" s="20">
        <v>0.6</v>
      </c>
      <c r="H10" s="19">
        <f t="shared" si="2"/>
        <v>70</v>
      </c>
      <c r="I10" s="19">
        <v>0.05</v>
      </c>
      <c r="J10" s="19">
        <f t="shared" si="3"/>
        <v>280</v>
      </c>
      <c r="K10" s="20">
        <f t="shared" si="5"/>
        <v>0.2</v>
      </c>
      <c r="L10" s="2"/>
      <c r="M10" s="2" t="s">
        <v>45</v>
      </c>
    </row>
    <row r="11" spans="1:13" ht="14.25">
      <c r="A11" s="2" t="s">
        <v>26</v>
      </c>
      <c r="B11" s="14">
        <v>1000</v>
      </c>
      <c r="C11" s="14">
        <f t="shared" si="4"/>
        <v>700</v>
      </c>
      <c r="D11" s="19">
        <f t="shared" si="0"/>
        <v>210</v>
      </c>
      <c r="E11" s="19">
        <v>0.3</v>
      </c>
      <c r="F11" s="19">
        <f t="shared" si="1"/>
        <v>280</v>
      </c>
      <c r="G11" s="20">
        <v>0.4</v>
      </c>
      <c r="H11" s="19">
        <f t="shared" si="2"/>
        <v>70</v>
      </c>
      <c r="I11" s="19">
        <v>0.1</v>
      </c>
      <c r="J11" s="19">
        <f t="shared" si="3"/>
        <v>210</v>
      </c>
      <c r="K11" s="20">
        <f t="shared" si="5"/>
        <v>0.3</v>
      </c>
      <c r="L11" s="2"/>
      <c r="M11" s="2" t="s">
        <v>46</v>
      </c>
    </row>
    <row r="12" spans="1:13" ht="14.25">
      <c r="A12" s="2" t="s">
        <v>27</v>
      </c>
      <c r="B12" s="14">
        <v>1500</v>
      </c>
      <c r="C12" s="14">
        <f t="shared" si="4"/>
        <v>1050</v>
      </c>
      <c r="D12" s="19">
        <f t="shared" si="0"/>
        <v>210</v>
      </c>
      <c r="E12" s="19">
        <v>0.2</v>
      </c>
      <c r="F12" s="19">
        <f t="shared" si="1"/>
        <v>315</v>
      </c>
      <c r="G12" s="20">
        <v>0.3</v>
      </c>
      <c r="H12" s="19">
        <f t="shared" si="2"/>
        <v>105</v>
      </c>
      <c r="I12" s="19">
        <v>0.1</v>
      </c>
      <c r="J12" s="19">
        <f t="shared" si="3"/>
        <v>367.5</v>
      </c>
      <c r="K12" s="20">
        <f t="shared" si="5"/>
        <v>0.35</v>
      </c>
      <c r="L12" s="2"/>
      <c r="M12" s="2" t="s">
        <v>45</v>
      </c>
    </row>
    <row r="13" spans="1:13" ht="14.25">
      <c r="A13" s="2" t="s">
        <v>28</v>
      </c>
      <c r="B13" s="14">
        <v>500</v>
      </c>
      <c r="C13" s="14">
        <f t="shared" si="4"/>
        <v>350</v>
      </c>
      <c r="D13" s="19">
        <f t="shared" si="0"/>
        <v>210</v>
      </c>
      <c r="E13" s="19">
        <v>0.6</v>
      </c>
      <c r="F13" s="19">
        <f t="shared" si="1"/>
        <v>244.99999999999997</v>
      </c>
      <c r="G13" s="20">
        <v>0.7</v>
      </c>
      <c r="H13" s="19">
        <f t="shared" si="2"/>
        <v>70</v>
      </c>
      <c r="I13" s="19">
        <v>0.2</v>
      </c>
      <c r="J13" s="19">
        <f t="shared" si="3"/>
        <v>52.50000000000001</v>
      </c>
      <c r="K13" s="20">
        <f t="shared" si="5"/>
        <v>0.15000000000000002</v>
      </c>
      <c r="L13" s="2"/>
      <c r="M13" s="2" t="s">
        <v>45</v>
      </c>
    </row>
    <row r="14" spans="1:13" ht="14.25">
      <c r="A14" s="2" t="s">
        <v>47</v>
      </c>
      <c r="B14" s="14">
        <v>15000</v>
      </c>
      <c r="C14" s="14">
        <f>B14*0.7</f>
        <v>10500</v>
      </c>
      <c r="D14" s="19">
        <f t="shared" si="0"/>
        <v>9450</v>
      </c>
      <c r="E14" s="19">
        <v>0.9</v>
      </c>
      <c r="F14" s="19">
        <f t="shared" si="1"/>
        <v>9450</v>
      </c>
      <c r="G14" s="20">
        <v>0.9</v>
      </c>
      <c r="H14" s="19">
        <f t="shared" si="2"/>
        <v>105</v>
      </c>
      <c r="I14" s="19">
        <v>0.01</v>
      </c>
      <c r="J14" s="19">
        <f t="shared" si="3"/>
        <v>524.9999999999999</v>
      </c>
      <c r="K14" s="20">
        <f t="shared" si="5"/>
        <v>0.04999999999999999</v>
      </c>
      <c r="L14" s="2"/>
      <c r="M14" s="2" t="s">
        <v>45</v>
      </c>
    </row>
    <row r="15" spans="1:13" ht="14.25">
      <c r="A15" s="23" t="s">
        <v>66</v>
      </c>
      <c r="B15" s="24">
        <f>SUM(B5:B13)</f>
        <v>41000</v>
      </c>
      <c r="C15" s="24">
        <f>SUM(C5:C13)</f>
        <v>28700</v>
      </c>
      <c r="D15" s="25">
        <f>SUM(D5:D13)</f>
        <v>4095</v>
      </c>
      <c r="E15" s="26">
        <f>D15/C15</f>
        <v>0.14268292682926828</v>
      </c>
      <c r="F15" s="25">
        <f>SUM(F5:F13)</f>
        <v>10115</v>
      </c>
      <c r="G15" s="26">
        <f>F15/C15</f>
        <v>0.3524390243902439</v>
      </c>
      <c r="H15" s="25">
        <f>SUM(H5:H13)</f>
        <v>2765</v>
      </c>
      <c r="I15" s="26">
        <f>H15/C15</f>
        <v>0.09634146341463415</v>
      </c>
      <c r="J15" s="25">
        <f>SUM(J5:J13)</f>
        <v>10185</v>
      </c>
      <c r="K15" s="26">
        <f>J15/C15</f>
        <v>0.3548780487804878</v>
      </c>
      <c r="L15" s="2"/>
      <c r="M15" s="2"/>
    </row>
    <row r="16" spans="1:13" ht="14.25">
      <c r="A16" s="23" t="s">
        <v>29</v>
      </c>
      <c r="B16" s="24">
        <f>SUM(B5:B14)</f>
        <v>56000</v>
      </c>
      <c r="C16" s="27">
        <f>SUM(C5:C14)</f>
        <v>39200</v>
      </c>
      <c r="D16" s="25">
        <f>SUM(D5:D14)</f>
        <v>13545</v>
      </c>
      <c r="E16" s="26">
        <f>D16/C16</f>
        <v>0.3455357142857143</v>
      </c>
      <c r="F16" s="25">
        <f>SUM(F5:F14)</f>
        <v>19565</v>
      </c>
      <c r="G16" s="26">
        <f>F16/C16</f>
        <v>0.49910714285714286</v>
      </c>
      <c r="H16" s="19">
        <f>SUM(H5:H14)</f>
        <v>2870</v>
      </c>
      <c r="I16" s="26">
        <f>H16/C16</f>
        <v>0.07321428571428572</v>
      </c>
      <c r="J16" s="26">
        <f>SUM(J5:J14)</f>
        <v>10710</v>
      </c>
      <c r="K16" s="26">
        <f>J16/C16</f>
        <v>0.2732142857142857</v>
      </c>
      <c r="L16" s="2"/>
      <c r="M16" s="2"/>
    </row>
    <row r="17" spans="1:5" ht="14.25">
      <c r="A17" s="6"/>
      <c r="B17" s="10"/>
      <c r="C17" s="11"/>
      <c r="D17" s="28"/>
      <c r="E17" s="28"/>
    </row>
    <row r="18" spans="1:5" ht="14.25">
      <c r="A18" s="6"/>
      <c r="B18" s="10"/>
      <c r="C18" s="11"/>
      <c r="D18" s="28"/>
      <c r="E18" s="28"/>
    </row>
    <row r="19" spans="1:5" ht="14.25">
      <c r="A19" s="6" t="s">
        <v>23</v>
      </c>
      <c r="B19" s="10" t="s">
        <v>48</v>
      </c>
      <c r="C19" s="11" t="s">
        <v>38</v>
      </c>
      <c r="D19" s="28" t="s">
        <v>49</v>
      </c>
      <c r="E19" s="28"/>
    </row>
    <row r="20" spans="1:5" ht="14.25">
      <c r="A20" s="29" t="s">
        <v>50</v>
      </c>
      <c r="B20" s="30">
        <v>10</v>
      </c>
      <c r="C20" s="31" t="s">
        <v>51</v>
      </c>
      <c r="D20" s="32" t="s">
        <v>52</v>
      </c>
      <c r="E20" s="28"/>
    </row>
    <row r="21" spans="1:5" ht="14.25">
      <c r="A21" s="29" t="s">
        <v>53</v>
      </c>
      <c r="B21" s="30">
        <f>133/60+3*0.2</f>
        <v>2.816666666666667</v>
      </c>
      <c r="C21" s="31" t="s">
        <v>54</v>
      </c>
      <c r="D21" s="32" t="s">
        <v>55</v>
      </c>
      <c r="E21" s="28"/>
    </row>
    <row r="22" spans="1:5" ht="14.25">
      <c r="A22" s="29" t="s">
        <v>56</v>
      </c>
      <c r="B22" s="30">
        <v>4</v>
      </c>
      <c r="C22" s="31" t="s">
        <v>57</v>
      </c>
      <c r="D22" s="28"/>
      <c r="E22" s="28"/>
    </row>
    <row r="23" spans="1:5" ht="14.25">
      <c r="A23" s="6"/>
      <c r="B23" s="30">
        <f>SUM(B20:B22)</f>
        <v>16.816666666666666</v>
      </c>
      <c r="C23" s="31"/>
      <c r="D23" s="28"/>
      <c r="E23" s="28"/>
    </row>
    <row r="24" spans="1:5" ht="14.25">
      <c r="A24" s="6"/>
      <c r="B24" s="30"/>
      <c r="C24" s="31"/>
      <c r="D24" s="28"/>
      <c r="E24" s="28"/>
    </row>
    <row r="25" spans="1:5" ht="14.25">
      <c r="A25" s="6"/>
      <c r="B25" s="30"/>
      <c r="C25" s="31"/>
      <c r="D25" s="28"/>
      <c r="E25" s="28"/>
    </row>
    <row r="26" spans="1:5" ht="14.25">
      <c r="A26" s="6"/>
      <c r="B26" s="10"/>
      <c r="C26" s="11"/>
      <c r="D26" s="28"/>
      <c r="E26" s="28"/>
    </row>
    <row r="27" ht="14.25">
      <c r="A27" t="s">
        <v>67</v>
      </c>
    </row>
    <row r="28" ht="14.25">
      <c r="A28" t="s">
        <v>58</v>
      </c>
    </row>
    <row r="29" ht="14.25">
      <c r="A29" t="s">
        <v>59</v>
      </c>
    </row>
    <row r="30" ht="14.25">
      <c r="A30" t="s">
        <v>68</v>
      </c>
    </row>
  </sheetData>
  <sheetProtection/>
  <mergeCells count="2">
    <mergeCell ref="D3:G3"/>
    <mergeCell ref="H3:K3"/>
  </mergeCells>
  <hyperlinks>
    <hyperlink ref="M5" r:id="rId1" display="http://ratek.org/rynok-bytovoj-texniki-i-elektroniki-v-rf-v-2015-godu-po-prognozu-upadet-na-22-proc-gfk"/>
    <hyperlink ref="D20" r:id="rId2" display="http://www.tadviser.ru/index.php/Статья:Смартфоны_(рынок_России)"/>
    <hyperlink ref="D21" r:id="rId3" display="http://www.3dnews.ru/928890"/>
  </hyperlinks>
  <printOptions/>
  <pageMargins left="0.7" right="0.7" top="0.75" bottom="0.75" header="0.3" footer="0.3"/>
  <pageSetup orientation="portrait" paperSize="9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B4:F21"/>
  <sheetViews>
    <sheetView zoomScalePageLayoutView="0" workbookViewId="0" topLeftCell="A1">
      <selection activeCell="I26" sqref="I26"/>
    </sheetView>
  </sheetViews>
  <sheetFormatPr defaultColWidth="9.140625" defaultRowHeight="15"/>
  <cols>
    <col min="2" max="2" width="18.8515625" style="0" customWidth="1"/>
    <col min="3" max="3" width="11.421875" style="0" customWidth="1"/>
  </cols>
  <sheetData>
    <row r="4" spans="3:6" ht="15">
      <c r="C4" t="s">
        <v>193</v>
      </c>
      <c r="D4" t="s">
        <v>194</v>
      </c>
      <c r="E4" t="s">
        <v>195</v>
      </c>
      <c r="F4" t="s">
        <v>196</v>
      </c>
    </row>
    <row r="5" spans="2:6" ht="15">
      <c r="B5" t="s">
        <v>197</v>
      </c>
      <c r="C5" s="12">
        <v>0.3</v>
      </c>
      <c r="E5" s="12"/>
      <c r="F5" s="12">
        <f>C5*0.6*0.5</f>
        <v>0.09</v>
      </c>
    </row>
    <row r="6" spans="2:6" ht="15">
      <c r="B6" t="s">
        <v>198</v>
      </c>
      <c r="C6" s="12">
        <v>0.2</v>
      </c>
      <c r="E6" s="12"/>
      <c r="F6" s="12">
        <f>C6*0.6*0.5</f>
        <v>0.06</v>
      </c>
    </row>
    <row r="7" spans="2:6" ht="15">
      <c r="B7" t="s">
        <v>199</v>
      </c>
      <c r="C7" s="12">
        <v>0.1</v>
      </c>
      <c r="D7" s="12"/>
      <c r="E7" s="12"/>
      <c r="F7" s="12">
        <f>C7*0.6*0.5</f>
        <v>0.03</v>
      </c>
    </row>
    <row r="8" spans="2:6" ht="15">
      <c r="B8" t="s">
        <v>200</v>
      </c>
      <c r="C8" s="12">
        <v>0.1</v>
      </c>
      <c r="D8" s="12"/>
      <c r="F8" s="12">
        <f>C8*0.6*0.5</f>
        <v>0.03</v>
      </c>
    </row>
    <row r="9" spans="2:6" ht="15">
      <c r="B9" t="s">
        <v>201</v>
      </c>
      <c r="C9" s="12">
        <v>0.3</v>
      </c>
      <c r="D9" s="12"/>
      <c r="F9" s="12">
        <f>C9*0.6*0.5</f>
        <v>0.09</v>
      </c>
    </row>
    <row r="10" spans="2:6" ht="15">
      <c r="B10" s="6" t="s">
        <v>202</v>
      </c>
      <c r="C10" s="12">
        <f>SUM(C5:C9)</f>
        <v>1</v>
      </c>
      <c r="D10" s="12">
        <v>0.5</v>
      </c>
      <c r="F10" s="12"/>
    </row>
    <row r="11" spans="2:6" ht="15">
      <c r="B11" t="s">
        <v>203</v>
      </c>
      <c r="D11" s="12">
        <v>0.07</v>
      </c>
      <c r="F11" s="12">
        <f>D11*0.6</f>
        <v>0.042</v>
      </c>
    </row>
    <row r="12" spans="2:6" ht="15">
      <c r="B12" t="s">
        <v>204</v>
      </c>
      <c r="D12" s="12">
        <v>0.03</v>
      </c>
      <c r="F12" s="12">
        <f>D12*0.6</f>
        <v>0.018</v>
      </c>
    </row>
    <row r="13" spans="2:6" ht="15">
      <c r="B13" t="s">
        <v>205</v>
      </c>
      <c r="D13" s="12">
        <v>0.05</v>
      </c>
      <c r="F13" s="12">
        <f>D13*0.6</f>
        <v>0.03</v>
      </c>
    </row>
    <row r="14" spans="2:6" ht="15">
      <c r="B14" t="s">
        <v>206</v>
      </c>
      <c r="D14" s="12">
        <v>0.05</v>
      </c>
      <c r="F14" s="12">
        <f>D14*0.6</f>
        <v>0.03</v>
      </c>
    </row>
    <row r="15" spans="2:6" ht="15">
      <c r="B15" t="s">
        <v>207</v>
      </c>
      <c r="D15" s="12">
        <v>0.3</v>
      </c>
      <c r="F15" s="12">
        <f>D15*0.6</f>
        <v>0.18</v>
      </c>
    </row>
    <row r="16" spans="2:6" ht="15">
      <c r="B16" s="6" t="s">
        <v>208</v>
      </c>
      <c r="D16" s="12">
        <f>SUM(D10:D15)</f>
        <v>1.0000000000000002</v>
      </c>
      <c r="E16" s="12">
        <v>0.6</v>
      </c>
      <c r="F16" s="12"/>
    </row>
    <row r="17" spans="2:6" ht="15">
      <c r="B17" t="s">
        <v>209</v>
      </c>
      <c r="D17" s="12"/>
      <c r="E17" s="12">
        <v>0.03</v>
      </c>
      <c r="F17" s="12">
        <f>E17</f>
        <v>0.03</v>
      </c>
    </row>
    <row r="18" spans="2:6" ht="15">
      <c r="B18" t="s">
        <v>210</v>
      </c>
      <c r="D18" s="12"/>
      <c r="E18" s="12">
        <v>0.02</v>
      </c>
      <c r="F18" s="12">
        <f>E18</f>
        <v>0.02</v>
      </c>
    </row>
    <row r="19" spans="2:6" ht="15">
      <c r="B19" t="s">
        <v>211</v>
      </c>
      <c r="E19" s="12">
        <v>0.05</v>
      </c>
      <c r="F19" s="12">
        <f>E19</f>
        <v>0.05</v>
      </c>
    </row>
    <row r="20" spans="2:6" ht="15">
      <c r="B20" t="s">
        <v>212</v>
      </c>
      <c r="E20" s="12">
        <v>0.3</v>
      </c>
      <c r="F20" s="12">
        <f>E20</f>
        <v>0.3</v>
      </c>
    </row>
    <row r="21" spans="2:6" ht="15">
      <c r="B21" s="6" t="s">
        <v>213</v>
      </c>
      <c r="E21" s="12">
        <f>SUM(E16:E20)</f>
        <v>1</v>
      </c>
      <c r="F21" s="12">
        <f>SUM(F5:F20)</f>
        <v>1.0000000000000002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9:K35"/>
  <sheetViews>
    <sheetView zoomScalePageLayoutView="0" workbookViewId="0" topLeftCell="A1">
      <selection activeCell="D5" sqref="D5"/>
    </sheetView>
  </sheetViews>
  <sheetFormatPr defaultColWidth="9.140625" defaultRowHeight="15"/>
  <cols>
    <col min="3" max="3" width="14.8515625" style="0" customWidth="1"/>
    <col min="4" max="4" width="16.421875" style="0" customWidth="1"/>
    <col min="5" max="5" width="14.8515625" style="0" customWidth="1"/>
    <col min="6" max="6" width="14.140625" style="0" customWidth="1"/>
    <col min="7" max="7" width="20.57421875" style="0" customWidth="1"/>
    <col min="8" max="8" width="17.57421875" style="0" customWidth="1"/>
    <col min="9" max="9" width="12.140625" style="0" customWidth="1"/>
    <col min="10" max="10" width="10.00390625" style="0" customWidth="1"/>
  </cols>
  <sheetData>
    <row r="9" spans="3:11" ht="57">
      <c r="C9" s="5" t="s">
        <v>180</v>
      </c>
      <c r="D9" s="5" t="s">
        <v>219</v>
      </c>
      <c r="E9" s="5" t="s">
        <v>182</v>
      </c>
      <c r="F9" s="5" t="s">
        <v>220</v>
      </c>
      <c r="G9" s="5" t="s">
        <v>184</v>
      </c>
      <c r="H9" s="5" t="s">
        <v>79</v>
      </c>
      <c r="K9" s="12"/>
    </row>
    <row r="10" spans="2:11" ht="14.25">
      <c r="B10">
        <v>2015</v>
      </c>
      <c r="C10" s="5"/>
      <c r="D10" s="12">
        <v>1</v>
      </c>
      <c r="E10" s="5"/>
      <c r="F10" s="12">
        <v>1</v>
      </c>
      <c r="H10" s="37">
        <v>2000</v>
      </c>
      <c r="K10" s="12"/>
    </row>
    <row r="11" spans="1:11" ht="14.25">
      <c r="A11">
        <v>1</v>
      </c>
      <c r="B11">
        <v>2016</v>
      </c>
      <c r="C11" s="12">
        <v>0.02</v>
      </c>
      <c r="D11" s="13">
        <f>D10*(1+C11)</f>
        <v>1.02</v>
      </c>
      <c r="E11" s="35">
        <v>0.03</v>
      </c>
      <c r="F11" s="13">
        <f>F10*(1+E11)</f>
        <v>1.03</v>
      </c>
      <c r="G11" s="43">
        <f>E11+0.3%</f>
        <v>0.033</v>
      </c>
      <c r="H11" s="37">
        <f>H10*(1+G11)</f>
        <v>2066</v>
      </c>
      <c r="J11" s="12"/>
      <c r="K11" s="13"/>
    </row>
    <row r="12" spans="1:11" ht="14.25">
      <c r="A12">
        <v>2</v>
      </c>
      <c r="B12">
        <v>2017</v>
      </c>
      <c r="C12" s="12">
        <v>0.02</v>
      </c>
      <c r="D12" s="13">
        <f>D11*(1+C12)</f>
        <v>1.0404</v>
      </c>
      <c r="E12" s="35">
        <v>0.03</v>
      </c>
      <c r="F12" s="13">
        <f aca="true" t="shared" si="0" ref="D12:F25">F11*(1+E12)</f>
        <v>1.0609</v>
      </c>
      <c r="G12" s="43">
        <f aca="true" t="shared" si="1" ref="G12:G25">E12+0.3%</f>
        <v>0.033</v>
      </c>
      <c r="H12" s="37">
        <f aca="true" t="shared" si="2" ref="H12:H25">H11*(1+G12)</f>
        <v>2134.178</v>
      </c>
      <c r="J12" s="12"/>
      <c r="K12" s="13"/>
    </row>
    <row r="13" spans="1:11" ht="14.25">
      <c r="A13">
        <v>3</v>
      </c>
      <c r="B13">
        <v>2018</v>
      </c>
      <c r="C13" s="12">
        <v>0.02</v>
      </c>
      <c r="D13" s="13">
        <f t="shared" si="0"/>
        <v>1.061208</v>
      </c>
      <c r="E13" s="35">
        <v>0.03</v>
      </c>
      <c r="F13" s="13">
        <f t="shared" si="0"/>
        <v>1.092727</v>
      </c>
      <c r="G13" s="43">
        <f t="shared" si="1"/>
        <v>0.033</v>
      </c>
      <c r="H13" s="37">
        <f t="shared" si="2"/>
        <v>2204.605874</v>
      </c>
      <c r="J13" s="12"/>
      <c r="K13" s="13"/>
    </row>
    <row r="14" spans="1:11" ht="14.25">
      <c r="A14">
        <v>4</v>
      </c>
      <c r="B14">
        <v>2019</v>
      </c>
      <c r="C14" s="12">
        <v>0.02</v>
      </c>
      <c r="D14" s="13">
        <f t="shared" si="0"/>
        <v>1.08243216</v>
      </c>
      <c r="E14" s="35">
        <v>0.03</v>
      </c>
      <c r="F14" s="13">
        <f t="shared" si="0"/>
        <v>1.1255088100000001</v>
      </c>
      <c r="G14" s="43">
        <f t="shared" si="1"/>
        <v>0.033</v>
      </c>
      <c r="H14" s="37">
        <f t="shared" si="2"/>
        <v>2277.3578678419995</v>
      </c>
      <c r="J14" s="12"/>
      <c r="K14" s="13"/>
    </row>
    <row r="15" spans="1:11" ht="14.25">
      <c r="A15">
        <v>5</v>
      </c>
      <c r="B15">
        <v>2020</v>
      </c>
      <c r="C15" s="12">
        <v>0.02</v>
      </c>
      <c r="D15" s="13">
        <f t="shared" si="0"/>
        <v>1.1040808032</v>
      </c>
      <c r="E15" s="35">
        <v>0.035</v>
      </c>
      <c r="F15" s="13">
        <f t="shared" si="0"/>
        <v>1.16490161835</v>
      </c>
      <c r="G15" s="43">
        <f t="shared" si="1"/>
        <v>0.038000000000000006</v>
      </c>
      <c r="H15" s="37">
        <f t="shared" si="2"/>
        <v>2363.8974668199953</v>
      </c>
      <c r="J15" s="12"/>
      <c r="K15" s="13"/>
    </row>
    <row r="16" spans="1:11" ht="14.25">
      <c r="A16">
        <v>6</v>
      </c>
      <c r="B16">
        <v>2021</v>
      </c>
      <c r="C16" s="12">
        <v>0.02</v>
      </c>
      <c r="D16" s="13">
        <f t="shared" si="0"/>
        <v>1.126162419264</v>
      </c>
      <c r="E16" s="35">
        <v>0.035</v>
      </c>
      <c r="F16" s="13">
        <f t="shared" si="0"/>
        <v>1.20567317499225</v>
      </c>
      <c r="G16" s="43">
        <f t="shared" si="1"/>
        <v>0.038000000000000006</v>
      </c>
      <c r="H16" s="37">
        <f t="shared" si="2"/>
        <v>2453.725570559155</v>
      </c>
      <c r="J16" s="12"/>
      <c r="K16" s="13"/>
    </row>
    <row r="17" spans="1:11" ht="14.25">
      <c r="A17">
        <v>7</v>
      </c>
      <c r="B17">
        <v>2022</v>
      </c>
      <c r="C17" s="12">
        <v>0.02</v>
      </c>
      <c r="D17" s="13">
        <f t="shared" si="0"/>
        <v>1.14868566764928</v>
      </c>
      <c r="E17" s="35">
        <v>0.04</v>
      </c>
      <c r="F17" s="13">
        <f t="shared" si="0"/>
        <v>1.25390010199194</v>
      </c>
      <c r="G17" s="43">
        <f t="shared" si="1"/>
        <v>0.043000000000000003</v>
      </c>
      <c r="H17" s="37">
        <f t="shared" si="2"/>
        <v>2559.2357700931984</v>
      </c>
      <c r="J17" s="12"/>
      <c r="K17" s="13"/>
    </row>
    <row r="18" spans="1:11" ht="14.25">
      <c r="A18">
        <v>8</v>
      </c>
      <c r="B18">
        <v>2023</v>
      </c>
      <c r="C18" s="12">
        <v>0.02</v>
      </c>
      <c r="D18" s="13">
        <f t="shared" si="0"/>
        <v>1.1716593810022657</v>
      </c>
      <c r="E18" s="35">
        <v>0.04</v>
      </c>
      <c r="F18" s="13">
        <f t="shared" si="0"/>
        <v>1.3040561060716176</v>
      </c>
      <c r="G18" s="43">
        <f t="shared" si="1"/>
        <v>0.043000000000000003</v>
      </c>
      <c r="H18" s="37">
        <f t="shared" si="2"/>
        <v>2669.2829082072058</v>
      </c>
      <c r="J18" s="12"/>
      <c r="K18" s="13"/>
    </row>
    <row r="19" spans="1:11" ht="14.25">
      <c r="A19">
        <v>9</v>
      </c>
      <c r="B19">
        <v>2024</v>
      </c>
      <c r="C19" s="12">
        <v>0.02</v>
      </c>
      <c r="D19" s="13">
        <f t="shared" si="0"/>
        <v>1.195092568622311</v>
      </c>
      <c r="E19" s="35">
        <v>0.045</v>
      </c>
      <c r="F19" s="13">
        <f t="shared" si="0"/>
        <v>1.3627386308448404</v>
      </c>
      <c r="G19" s="43">
        <f t="shared" si="1"/>
        <v>0.048</v>
      </c>
      <c r="H19" s="37">
        <f t="shared" si="2"/>
        <v>2797.4084878011518</v>
      </c>
      <c r="J19" s="12"/>
      <c r="K19" s="13"/>
    </row>
    <row r="20" spans="1:11" ht="14.25">
      <c r="A20">
        <v>10</v>
      </c>
      <c r="B20">
        <v>2025</v>
      </c>
      <c r="C20" s="12">
        <v>0.02</v>
      </c>
      <c r="D20" s="13">
        <f t="shared" si="0"/>
        <v>1.2189944199947573</v>
      </c>
      <c r="E20" s="35">
        <v>0.045</v>
      </c>
      <c r="F20" s="13">
        <f t="shared" si="0"/>
        <v>1.4240618692328582</v>
      </c>
      <c r="G20" s="43">
        <f t="shared" si="1"/>
        <v>0.048</v>
      </c>
      <c r="H20" s="37">
        <f t="shared" si="2"/>
        <v>2931.684095215607</v>
      </c>
      <c r="J20" s="12"/>
      <c r="K20" s="13"/>
    </row>
    <row r="21" spans="1:11" ht="14.25">
      <c r="A21">
        <v>11</v>
      </c>
      <c r="B21">
        <v>2026</v>
      </c>
      <c r="C21" s="12">
        <v>0.02</v>
      </c>
      <c r="D21" s="13">
        <f t="shared" si="0"/>
        <v>1.2433743083946525</v>
      </c>
      <c r="E21" s="35">
        <v>0.04</v>
      </c>
      <c r="F21" s="13">
        <f t="shared" si="0"/>
        <v>1.4810243440021726</v>
      </c>
      <c r="G21" s="43">
        <f t="shared" si="1"/>
        <v>0.043000000000000003</v>
      </c>
      <c r="H21" s="37">
        <f t="shared" si="2"/>
        <v>3057.746511309878</v>
      </c>
      <c r="J21" s="12"/>
      <c r="K21" s="13"/>
    </row>
    <row r="22" spans="1:11" ht="14.25">
      <c r="A22">
        <v>12</v>
      </c>
      <c r="B22">
        <v>2027</v>
      </c>
      <c r="C22" s="12">
        <v>0.02</v>
      </c>
      <c r="D22" s="13">
        <f t="shared" si="0"/>
        <v>1.2682417945625455</v>
      </c>
      <c r="E22" s="35">
        <v>0.04</v>
      </c>
      <c r="F22" s="13">
        <f t="shared" si="0"/>
        <v>1.5402653177622596</v>
      </c>
      <c r="G22" s="43">
        <f t="shared" si="1"/>
        <v>0.043000000000000003</v>
      </c>
      <c r="H22" s="37">
        <f t="shared" si="2"/>
        <v>3189.229611296202</v>
      </c>
      <c r="J22" s="12"/>
      <c r="K22" s="13"/>
    </row>
    <row r="23" spans="1:11" ht="14.25">
      <c r="A23">
        <v>13</v>
      </c>
      <c r="B23">
        <v>2028</v>
      </c>
      <c r="C23" s="12">
        <v>0.02</v>
      </c>
      <c r="D23" s="13">
        <f t="shared" si="0"/>
        <v>1.2936066304537963</v>
      </c>
      <c r="E23" s="35">
        <v>0.03</v>
      </c>
      <c r="F23" s="13">
        <f t="shared" si="0"/>
        <v>1.5864732772951275</v>
      </c>
      <c r="G23" s="43">
        <f t="shared" si="1"/>
        <v>0.033</v>
      </c>
      <c r="H23" s="37">
        <f t="shared" si="2"/>
        <v>3294.4741884689765</v>
      </c>
      <c r="J23" s="12"/>
      <c r="K23" s="13"/>
    </row>
    <row r="24" spans="1:11" ht="14.25">
      <c r="A24">
        <v>14</v>
      </c>
      <c r="B24">
        <v>2029</v>
      </c>
      <c r="C24" s="12">
        <v>0.02</v>
      </c>
      <c r="D24" s="13">
        <f t="shared" si="0"/>
        <v>1.3194787630628724</v>
      </c>
      <c r="E24" s="35">
        <v>0.03</v>
      </c>
      <c r="F24" s="13">
        <f t="shared" si="0"/>
        <v>1.6340674756139815</v>
      </c>
      <c r="G24" s="43">
        <f t="shared" si="1"/>
        <v>0.033</v>
      </c>
      <c r="H24" s="37">
        <f t="shared" si="2"/>
        <v>3403.1918366884524</v>
      </c>
      <c r="J24" s="12"/>
      <c r="K24" s="13"/>
    </row>
    <row r="25" spans="1:11" ht="14.25">
      <c r="A25">
        <v>15</v>
      </c>
      <c r="B25">
        <v>2030</v>
      </c>
      <c r="C25" s="12">
        <v>0.02</v>
      </c>
      <c r="D25" s="13">
        <f t="shared" si="0"/>
        <v>1.3458683383241299</v>
      </c>
      <c r="E25" s="35">
        <v>0.03</v>
      </c>
      <c r="F25" s="13">
        <f t="shared" si="0"/>
        <v>1.6830894998824009</v>
      </c>
      <c r="G25" s="43">
        <f t="shared" si="1"/>
        <v>0.033</v>
      </c>
      <c r="H25" s="37">
        <f t="shared" si="2"/>
        <v>3515.497167299171</v>
      </c>
      <c r="J25" s="12"/>
      <c r="K25" s="13"/>
    </row>
    <row r="29" spans="5:6" ht="14.25">
      <c r="E29" s="36" t="s">
        <v>80</v>
      </c>
      <c r="F29" s="33">
        <f>9/2000</f>
        <v>0.0045</v>
      </c>
    </row>
    <row r="30" ht="14.25">
      <c r="E30" s="36" t="s">
        <v>81</v>
      </c>
    </row>
    <row r="33" ht="14.25">
      <c r="A33" t="s">
        <v>181</v>
      </c>
    </row>
    <row r="34" ht="14.25">
      <c r="A34" t="s">
        <v>183</v>
      </c>
    </row>
    <row r="35" ht="14.25">
      <c r="A35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F27"/>
  <sheetViews>
    <sheetView zoomScalePageLayoutView="0" workbookViewId="0" topLeftCell="A1">
      <selection activeCell="B24" sqref="B24:B26"/>
    </sheetView>
  </sheetViews>
  <sheetFormatPr defaultColWidth="9.140625" defaultRowHeight="15"/>
  <cols>
    <col min="1" max="1" width="8.57421875" style="0" customWidth="1"/>
    <col min="2" max="2" width="32.00390625" style="0" customWidth="1"/>
    <col min="3" max="3" width="18.00390625" style="0" customWidth="1"/>
    <col min="4" max="4" width="14.57421875" style="0" bestFit="1" customWidth="1"/>
  </cols>
  <sheetData>
    <row r="4" spans="1:2" ht="21">
      <c r="A4" s="42"/>
      <c r="B4" s="42" t="s">
        <v>160</v>
      </c>
    </row>
    <row r="7" spans="2:6" ht="72">
      <c r="B7" t="s">
        <v>86</v>
      </c>
      <c r="C7" s="5" t="s">
        <v>131</v>
      </c>
      <c r="D7" s="5" t="s">
        <v>85</v>
      </c>
      <c r="E7" t="s">
        <v>84</v>
      </c>
      <c r="F7" t="s">
        <v>49</v>
      </c>
    </row>
    <row r="8" spans="2:6" ht="14.25">
      <c r="B8" t="s">
        <v>83</v>
      </c>
      <c r="C8" s="7">
        <v>1393</v>
      </c>
      <c r="D8" t="s">
        <v>88</v>
      </c>
      <c r="E8" t="s">
        <v>87</v>
      </c>
      <c r="F8" t="s">
        <v>92</v>
      </c>
    </row>
    <row r="9" spans="2:6" ht="14.25">
      <c r="B9" t="s">
        <v>89</v>
      </c>
      <c r="C9" s="7">
        <f>C8/1.7</f>
        <v>819.4117647058823</v>
      </c>
      <c r="D9" t="s">
        <v>94</v>
      </c>
      <c r="E9" t="s">
        <v>90</v>
      </c>
      <c r="F9" s="38" t="s">
        <v>91</v>
      </c>
    </row>
    <row r="10" spans="2:6" ht="14.25">
      <c r="B10" t="s">
        <v>95</v>
      </c>
      <c r="C10" s="7">
        <v>1000</v>
      </c>
      <c r="D10" t="s">
        <v>161</v>
      </c>
      <c r="F10" s="38"/>
    </row>
    <row r="11" spans="2:6" ht="14.25">
      <c r="B11" t="s">
        <v>93</v>
      </c>
      <c r="C11" s="7"/>
      <c r="D11" t="s">
        <v>125</v>
      </c>
      <c r="F11" s="38" t="s">
        <v>124</v>
      </c>
    </row>
    <row r="12" spans="2:6" ht="14.25">
      <c r="B12" t="s">
        <v>120</v>
      </c>
      <c r="C12" s="7"/>
      <c r="D12" t="s">
        <v>126</v>
      </c>
      <c r="F12" s="38" t="s">
        <v>122</v>
      </c>
    </row>
    <row r="13" spans="2:6" ht="14.25">
      <c r="B13" t="s">
        <v>121</v>
      </c>
      <c r="C13" s="7"/>
      <c r="D13" t="s">
        <v>126</v>
      </c>
      <c r="F13" s="38" t="s">
        <v>123</v>
      </c>
    </row>
    <row r="14" spans="2:6" ht="14.25">
      <c r="B14" t="s">
        <v>127</v>
      </c>
      <c r="C14" s="7"/>
      <c r="D14" t="s">
        <v>129</v>
      </c>
      <c r="F14" s="38" t="s">
        <v>128</v>
      </c>
    </row>
    <row r="15" spans="2:6" ht="14.25">
      <c r="B15" t="s">
        <v>162</v>
      </c>
      <c r="C15" s="7"/>
      <c r="D15" t="s">
        <v>163</v>
      </c>
      <c r="F15" s="38" t="s">
        <v>167</v>
      </c>
    </row>
    <row r="16" spans="2:6" ht="14.25">
      <c r="B16" t="s">
        <v>165</v>
      </c>
      <c r="C16" s="7"/>
      <c r="D16" t="s">
        <v>163</v>
      </c>
      <c r="F16" s="38" t="s">
        <v>166</v>
      </c>
    </row>
    <row r="17" spans="2:6" ht="14.25">
      <c r="B17" t="s">
        <v>132</v>
      </c>
      <c r="C17" s="7"/>
      <c r="D17" t="s">
        <v>133</v>
      </c>
      <c r="F17" s="38" t="s">
        <v>134</v>
      </c>
    </row>
    <row r="18" spans="2:3" ht="14.25">
      <c r="B18" t="s">
        <v>130</v>
      </c>
      <c r="C18" s="7"/>
    </row>
    <row r="19" spans="2:3" ht="14.25">
      <c r="B19" s="36" t="s">
        <v>135</v>
      </c>
      <c r="C19" s="7">
        <f>SUM(C8:C18)</f>
        <v>3212.4117647058824</v>
      </c>
    </row>
    <row r="20" spans="2:5" ht="42.75">
      <c r="B20" s="40" t="s">
        <v>186</v>
      </c>
      <c r="C20" s="9">
        <f>C19*0.15</f>
        <v>481.86176470588236</v>
      </c>
      <c r="E20" t="s">
        <v>156</v>
      </c>
    </row>
    <row r="21" spans="2:3" ht="14.25">
      <c r="B21" t="s">
        <v>187</v>
      </c>
      <c r="C21" s="9">
        <f>C20*0.8</f>
        <v>385.4894117647059</v>
      </c>
    </row>
    <row r="23" spans="2:4" ht="28.5">
      <c r="B23" s="1" t="s">
        <v>169</v>
      </c>
      <c r="C23" s="2"/>
      <c r="D23" s="2"/>
    </row>
    <row r="24" spans="2:6" ht="14.25">
      <c r="B24" s="2" t="s">
        <v>170</v>
      </c>
      <c r="C24" s="2">
        <v>10</v>
      </c>
      <c r="D24" s="2" t="s">
        <v>176</v>
      </c>
      <c r="F24" s="38" t="s">
        <v>164</v>
      </c>
    </row>
    <row r="25" spans="2:6" ht="14.25">
      <c r="B25" s="2" t="s">
        <v>172</v>
      </c>
      <c r="C25" s="2">
        <v>30</v>
      </c>
      <c r="D25" s="2" t="s">
        <v>173</v>
      </c>
      <c r="E25" t="s">
        <v>174</v>
      </c>
      <c r="F25" s="38" t="s">
        <v>175</v>
      </c>
    </row>
    <row r="26" spans="2:6" ht="14.25">
      <c r="B26" s="2" t="s">
        <v>171</v>
      </c>
      <c r="C26" s="2">
        <v>5</v>
      </c>
      <c r="D26" s="2" t="s">
        <v>178</v>
      </c>
      <c r="F26" s="38" t="s">
        <v>177</v>
      </c>
    </row>
    <row r="27" spans="2:4" ht="42.75">
      <c r="B27" s="1" t="s">
        <v>179</v>
      </c>
      <c r="C27" s="2">
        <v>45</v>
      </c>
      <c r="D27" s="2"/>
    </row>
  </sheetData>
  <sheetProtection/>
  <hyperlinks>
    <hyperlink ref="F9" r:id="rId1" display="http://www.raexpert.ru/docbank/66b/3d6/388/4e13bbeb106c0f4366551fe.pdf"/>
    <hyperlink ref="F12" r:id="rId2" display="http://new.abb.com/ru/o-nas/russia"/>
    <hyperlink ref="F13" r:id="rId3" display="http://www.schneider-electric.ru/ru/about-us/company-profile/production-in-russia.jsp"/>
    <hyperlink ref="F11" r:id="rId4" display="http://www.vest-news.ru/article/60488, "/>
    <hyperlink ref="F14" r:id="rId5" display="http://www2.emersonprocess.com/ru-RU/news/pr/Pages/pr_metranflow.aspx"/>
    <hyperlink ref="F17" r:id="rId6" display="https://www.systemsensor.ru/about/"/>
    <hyperlink ref="F15" r:id="rId7" display="http://jabil-russia.ru/"/>
    <hyperlink ref="F16" r:id="rId8" display="http://ingenico.ru/about.html"/>
    <hyperlink ref="F25" r:id="rId9" display="http://tpvrussia.ru/factory/production/"/>
    <hyperlink ref="F24" r:id="rId10" display="http://jabil-russia.ru/"/>
    <hyperlink ref="F26" r:id="rId11" display="http://www.orbitone.se/ru/this-is-orbit-one/production-units/russia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G38"/>
  <sheetViews>
    <sheetView zoomScalePageLayoutView="0" workbookViewId="0" topLeftCell="A1">
      <selection activeCell="O6" sqref="O6"/>
    </sheetView>
  </sheetViews>
  <sheetFormatPr defaultColWidth="9.140625" defaultRowHeight="15"/>
  <cols>
    <col min="2" max="2" width="27.57421875" style="0" customWidth="1"/>
    <col min="3" max="3" width="32.00390625" style="0" customWidth="1"/>
    <col min="4" max="4" width="18.00390625" style="0" customWidth="1"/>
    <col min="5" max="5" width="14.57421875" style="0" bestFit="1" customWidth="1"/>
  </cols>
  <sheetData>
    <row r="2" ht="21">
      <c r="B2" s="42" t="s">
        <v>235</v>
      </c>
    </row>
    <row r="4" spans="4:5" ht="42.75">
      <c r="D4" s="5" t="s">
        <v>136</v>
      </c>
      <c r="E4" s="5" t="s">
        <v>97</v>
      </c>
    </row>
    <row r="5" spans="2:5" ht="14.25">
      <c r="B5" t="s">
        <v>148</v>
      </c>
      <c r="C5" t="s">
        <v>96</v>
      </c>
      <c r="D5" s="9">
        <f>E5/38.614</f>
        <v>4459.185787538199</v>
      </c>
      <c r="E5" s="7">
        <v>172187</v>
      </c>
    </row>
    <row r="6" spans="2:5" ht="14.25">
      <c r="B6" t="s">
        <v>148</v>
      </c>
      <c r="C6" t="s">
        <v>113</v>
      </c>
      <c r="D6" s="9">
        <f>E6/38.614</f>
        <v>2938.5456052209047</v>
      </c>
      <c r="E6" s="7">
        <v>113469</v>
      </c>
    </row>
    <row r="7" ht="14.25">
      <c r="E7" s="7"/>
    </row>
    <row r="8" spans="2:7" ht="14.25">
      <c r="B8" t="s">
        <v>149</v>
      </c>
      <c r="C8" t="s">
        <v>137</v>
      </c>
      <c r="D8" s="9">
        <f>E8/38.614</f>
        <v>2996.659242761693</v>
      </c>
      <c r="E8" s="7">
        <v>115713</v>
      </c>
      <c r="F8" t="s">
        <v>138</v>
      </c>
      <c r="G8" s="38" t="s">
        <v>147</v>
      </c>
    </row>
    <row r="9" spans="2:7" ht="14.25">
      <c r="B9" t="s">
        <v>149</v>
      </c>
      <c r="C9" t="s">
        <v>139</v>
      </c>
      <c r="D9" s="9">
        <f>E9/38.614</f>
        <v>2111.3585746102453</v>
      </c>
      <c r="E9" s="7">
        <v>81528</v>
      </c>
      <c r="F9" t="s">
        <v>143</v>
      </c>
      <c r="G9" s="38" t="s">
        <v>146</v>
      </c>
    </row>
    <row r="10" spans="2:7" ht="14.25">
      <c r="B10" t="s">
        <v>149</v>
      </c>
      <c r="C10" t="s">
        <v>140</v>
      </c>
      <c r="D10" s="9">
        <f>E10/38.614</f>
        <v>990.9618273165174</v>
      </c>
      <c r="E10" s="7">
        <v>38265</v>
      </c>
      <c r="F10" t="s">
        <v>144</v>
      </c>
      <c r="G10" s="38" t="s">
        <v>145</v>
      </c>
    </row>
    <row r="11" spans="2:7" ht="14.25">
      <c r="B11" t="s">
        <v>149</v>
      </c>
      <c r="C11" t="s">
        <v>141</v>
      </c>
      <c r="D11" s="9">
        <f>E11/38.614</f>
        <v>915.1862018956856</v>
      </c>
      <c r="E11" s="7">
        <v>35339</v>
      </c>
      <c r="F11" t="s">
        <v>218</v>
      </c>
      <c r="G11" s="38" t="s">
        <v>217</v>
      </c>
    </row>
    <row r="12" spans="2:7" ht="14.25">
      <c r="B12" t="s">
        <v>149</v>
      </c>
      <c r="C12" t="s">
        <v>142</v>
      </c>
      <c r="D12" s="9">
        <f>E12/38.614</f>
        <v>768.3741648106904</v>
      </c>
      <c r="E12" s="7">
        <v>29670</v>
      </c>
      <c r="F12" t="s">
        <v>215</v>
      </c>
      <c r="G12" s="38" t="s">
        <v>216</v>
      </c>
    </row>
    <row r="13" ht="14.25">
      <c r="E13" s="7"/>
    </row>
    <row r="14" spans="2:6" ht="14.25">
      <c r="B14" t="s">
        <v>150</v>
      </c>
      <c r="C14" t="s">
        <v>117</v>
      </c>
      <c r="D14" s="9">
        <f>E14/38.614</f>
        <v>16578.935101258612</v>
      </c>
      <c r="E14" s="7">
        <v>640179</v>
      </c>
      <c r="F14" t="s">
        <v>118</v>
      </c>
    </row>
    <row r="15" spans="2:5" ht="14.25">
      <c r="B15" t="s">
        <v>150</v>
      </c>
      <c r="C15" t="s">
        <v>101</v>
      </c>
      <c r="D15" s="9">
        <f>E15/38.614</f>
        <v>9194.851608224997</v>
      </c>
      <c r="E15" s="7">
        <v>355050</v>
      </c>
    </row>
    <row r="16" spans="2:5" ht="14.25">
      <c r="B16" t="s">
        <v>150</v>
      </c>
      <c r="C16" t="s">
        <v>119</v>
      </c>
      <c r="D16" s="9">
        <f>E16/38.614</f>
        <v>8152.354068472575</v>
      </c>
      <c r="E16" s="7">
        <v>314795</v>
      </c>
    </row>
    <row r="17" spans="2:5" ht="14.25">
      <c r="B17" t="s">
        <v>150</v>
      </c>
      <c r="C17" t="s">
        <v>98</v>
      </c>
      <c r="D17" s="9">
        <f>E17/38.614</f>
        <v>8051.924172579894</v>
      </c>
      <c r="E17" s="7">
        <v>310917</v>
      </c>
    </row>
    <row r="19" spans="2:5" ht="14.25">
      <c r="B19" t="s">
        <v>151</v>
      </c>
      <c r="C19" t="s">
        <v>102</v>
      </c>
      <c r="D19" s="9">
        <f aca="true" t="shared" si="0" ref="D19:D38">E19/38.614</f>
        <v>24978.99725488165</v>
      </c>
      <c r="E19" s="7">
        <v>964539</v>
      </c>
    </row>
    <row r="20" spans="2:5" ht="14.25">
      <c r="B20" t="s">
        <v>151</v>
      </c>
      <c r="C20" t="s">
        <v>100</v>
      </c>
      <c r="D20" s="9">
        <f t="shared" si="0"/>
        <v>7627.751592686591</v>
      </c>
      <c r="E20" s="7">
        <v>294538</v>
      </c>
    </row>
    <row r="21" spans="2:5" ht="14.25">
      <c r="B21" t="s">
        <v>151</v>
      </c>
      <c r="C21" t="s">
        <v>103</v>
      </c>
      <c r="D21" s="9">
        <f t="shared" si="0"/>
        <v>5416.791837157508</v>
      </c>
      <c r="E21" s="7">
        <v>209164</v>
      </c>
    </row>
    <row r="22" spans="2:5" ht="14.25">
      <c r="B22" t="s">
        <v>151</v>
      </c>
      <c r="C22" t="s">
        <v>99</v>
      </c>
      <c r="D22" s="9">
        <f t="shared" si="0"/>
        <v>4398.456518361217</v>
      </c>
      <c r="E22" s="7">
        <v>169842</v>
      </c>
    </row>
    <row r="23" ht="13.5" customHeight="1"/>
    <row r="24" spans="2:5" ht="14.25">
      <c r="B24" t="s">
        <v>152</v>
      </c>
      <c r="C24" t="s">
        <v>104</v>
      </c>
      <c r="D24" s="9">
        <f t="shared" si="0"/>
        <v>4939.503806909412</v>
      </c>
      <c r="E24" s="7">
        <v>190734</v>
      </c>
    </row>
    <row r="25" spans="2:5" ht="14.25">
      <c r="B25" t="s">
        <v>152</v>
      </c>
      <c r="C25" t="s">
        <v>105</v>
      </c>
      <c r="D25" s="9">
        <f t="shared" si="0"/>
        <v>5971.461128088258</v>
      </c>
      <c r="E25" s="7">
        <v>230582</v>
      </c>
    </row>
    <row r="26" spans="2:5" ht="14.25">
      <c r="B26" t="s">
        <v>152</v>
      </c>
      <c r="C26" t="s">
        <v>106</v>
      </c>
      <c r="D26" s="9">
        <f t="shared" si="0"/>
        <v>3937.2248407313414</v>
      </c>
      <c r="E26" s="7">
        <v>152032</v>
      </c>
    </row>
    <row r="27" spans="2:5" ht="14.25">
      <c r="B27" t="s">
        <v>152</v>
      </c>
      <c r="C27" t="s">
        <v>109</v>
      </c>
      <c r="D27" s="9">
        <f t="shared" si="0"/>
        <v>3107.4998705132857</v>
      </c>
      <c r="E27" s="7">
        <v>119993</v>
      </c>
    </row>
    <row r="29" spans="2:5" ht="14.25">
      <c r="B29" t="s">
        <v>153</v>
      </c>
      <c r="C29" t="s">
        <v>107</v>
      </c>
      <c r="D29" s="9">
        <f t="shared" si="0"/>
        <v>3616.35676179624</v>
      </c>
      <c r="E29" s="7">
        <v>139642</v>
      </c>
    </row>
    <row r="30" spans="2:5" ht="14.25">
      <c r="B30" t="s">
        <v>153</v>
      </c>
      <c r="C30" t="s">
        <v>108</v>
      </c>
      <c r="D30" s="9">
        <f t="shared" si="0"/>
        <v>3302.325581395349</v>
      </c>
      <c r="E30" s="7">
        <v>127516</v>
      </c>
    </row>
    <row r="32" spans="2:5" ht="14.25">
      <c r="B32" t="s">
        <v>154</v>
      </c>
      <c r="C32" t="s">
        <v>110</v>
      </c>
      <c r="D32" s="9">
        <f t="shared" si="0"/>
        <v>141846.94670326824</v>
      </c>
      <c r="E32" s="39">
        <v>5477278</v>
      </c>
    </row>
    <row r="33" spans="2:5" ht="14.25">
      <c r="B33" t="s">
        <v>154</v>
      </c>
      <c r="C33" t="s">
        <v>111</v>
      </c>
      <c r="D33" s="9">
        <f t="shared" si="0"/>
        <v>122758.45548246751</v>
      </c>
      <c r="E33" s="39">
        <v>4740195</v>
      </c>
    </row>
    <row r="34" spans="2:5" ht="14.25">
      <c r="B34" t="s">
        <v>154</v>
      </c>
      <c r="C34" t="s">
        <v>112</v>
      </c>
      <c r="D34" s="9">
        <f t="shared" si="0"/>
        <v>95328.11933495624</v>
      </c>
      <c r="E34" s="39">
        <v>3681000</v>
      </c>
    </row>
    <row r="35" ht="14.25">
      <c r="E35" s="39"/>
    </row>
    <row r="36" spans="2:5" ht="14.25">
      <c r="B36" t="s">
        <v>155</v>
      </c>
      <c r="C36" t="s">
        <v>114</v>
      </c>
      <c r="D36" s="9">
        <f t="shared" si="0"/>
        <v>46515.771481845964</v>
      </c>
      <c r="E36" s="39">
        <v>1796160</v>
      </c>
    </row>
    <row r="37" spans="2:5" ht="14.25">
      <c r="B37" t="s">
        <v>155</v>
      </c>
      <c r="C37" t="s">
        <v>115</v>
      </c>
      <c r="D37" s="9">
        <f t="shared" si="0"/>
        <v>20054.384420158494</v>
      </c>
      <c r="E37" s="39">
        <v>774380</v>
      </c>
    </row>
    <row r="38" spans="2:5" ht="14.25">
      <c r="B38" t="s">
        <v>155</v>
      </c>
      <c r="C38" t="s">
        <v>116</v>
      </c>
      <c r="D38" s="9">
        <f t="shared" si="0"/>
        <v>8281.219246905268</v>
      </c>
      <c r="E38" s="39">
        <v>319771</v>
      </c>
    </row>
  </sheetData>
  <sheetProtection/>
  <hyperlinks>
    <hyperlink ref="G10" r:id="rId1" display="http://www.technoserv.com/about/company/"/>
    <hyperlink ref="G9" r:id="rId2" display="http://lanit.ru/structure/region/"/>
    <hyperlink ref="G8" r:id="rId3" display="http://www.ncc.ru/"/>
    <hyperlink ref="G12" r:id="rId4" display="http://www.itgrp.ru/structure-of-holding/"/>
    <hyperlink ref="G11" r:id="rId5" display="http://softlinegroup.com/ru/business_description/structure.php"/>
  </hyperlinks>
  <printOptions/>
  <pageMargins left="0.7" right="0.7" top="0.75" bottom="0.75" header="0.3" footer="0.3"/>
  <pageSetup horizontalDpi="600" verticalDpi="6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Администрaтор</dc:creator>
  <cp:keywords/>
  <dc:description/>
  <cp:lastModifiedBy>user15</cp:lastModifiedBy>
  <cp:lastPrinted>2016-04-04T08:36:18Z</cp:lastPrinted>
  <dcterms:created xsi:type="dcterms:W3CDTF">2016-03-03T12:03:44Z</dcterms:created>
  <dcterms:modified xsi:type="dcterms:W3CDTF">2016-04-04T08:36:35Z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